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26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YVC - Financial Accounting A/2025B/"/>
    </mc:Choice>
  </mc:AlternateContent>
  <xr:revisionPtr revIDLastSave="1533" documentId="13_ncr:1_{8BA02CD0-C7C4-8A41-A21D-4C12DEC0C4F2}" xr6:coauthVersionLast="47" xr6:coauthVersionMax="47" xr10:uidLastSave="{F26B23FD-557D-D147-8D7E-44B3CF478920}"/>
  <bookViews>
    <workbookView xWindow="0" yWindow="500" windowWidth="38080" windowHeight="21820" activeTab="11" xr2:uid="{05853DA2-670C-CC48-A4DD-545CEE8F8BED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Lecture 8" sheetId="8" r:id="rId8"/>
    <sheet name="Lecture 8נ" sheetId="9" r:id="rId9"/>
    <sheet name="Lecture 9b" sheetId="10" r:id="rId10"/>
    <sheet name="Lecture9bExercise" sheetId="11" r:id="rId11"/>
    <sheet name="Lecture 9 part C" sheetId="12" r:id="rId1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113" i="11" l="1"/>
  <c r="M116" i="11" s="1"/>
  <c r="T31" i="11" s="1"/>
  <c r="U31" i="11" s="1"/>
  <c r="M111" i="11"/>
  <c r="M102" i="11"/>
  <c r="M105" i="11" s="1"/>
  <c r="M100" i="11"/>
  <c r="M95" i="11"/>
  <c r="M91" i="11"/>
  <c r="M94" i="11" s="1"/>
  <c r="M96" i="11" s="1"/>
  <c r="M71" i="11"/>
  <c r="M78" i="11" s="1"/>
  <c r="M69" i="11"/>
  <c r="M59" i="11"/>
  <c r="W58" i="11"/>
  <c r="V58" i="11"/>
  <c r="U58" i="11"/>
  <c r="T58" i="11"/>
  <c r="S58" i="11"/>
  <c r="M58" i="11"/>
  <c r="X57" i="11"/>
  <c r="X59" i="11" s="1"/>
  <c r="X61" i="11" s="1"/>
  <c r="U37" i="11" s="1"/>
  <c r="M55" i="11"/>
  <c r="M53" i="11"/>
  <c r="G45" i="11"/>
  <c r="G44" i="11"/>
  <c r="G43" i="11"/>
  <c r="G42" i="11"/>
  <c r="F42" i="11"/>
  <c r="H42" i="11" s="1"/>
  <c r="M29" i="11" s="1"/>
  <c r="T57" i="11" s="1"/>
  <c r="E42" i="11"/>
  <c r="E43" i="11" s="1"/>
  <c r="R31" i="11"/>
  <c r="S31" i="11" s="1"/>
  <c r="P31" i="11"/>
  <c r="Q31" i="11" s="1"/>
  <c r="N31" i="11"/>
  <c r="O31" i="11" s="1"/>
  <c r="L31" i="11"/>
  <c r="M31" i="11" s="1"/>
  <c r="K31" i="11"/>
  <c r="K27" i="11"/>
  <c r="L26" i="11"/>
  <c r="M26" i="11" s="1"/>
  <c r="N26" i="11" s="1"/>
  <c r="I382" i="10"/>
  <c r="G320" i="10"/>
  <c r="G319" i="10"/>
  <c r="G318" i="10"/>
  <c r="H318" i="10"/>
  <c r="T28" i="10"/>
  <c r="T31" i="10"/>
  <c r="T35" i="10"/>
  <c r="T34" i="10"/>
  <c r="T36" i="10"/>
  <c r="T39" i="10" s="1"/>
  <c r="T25" i="10"/>
  <c r="T21" i="10"/>
  <c r="T18" i="10"/>
  <c r="T23" i="10"/>
  <c r="T19" i="10"/>
  <c r="S21" i="10"/>
  <c r="S19" i="10"/>
  <c r="S20" i="10"/>
  <c r="S23" i="10"/>
  <c r="S18" i="10"/>
  <c r="R27" i="10"/>
  <c r="R30" i="10"/>
  <c r="R35" i="10"/>
  <c r="R34" i="10"/>
  <c r="R18" i="10"/>
  <c r="R19" i="10"/>
  <c r="R20" i="10"/>
  <c r="R24" i="10"/>
  <c r="R23" i="10"/>
  <c r="R21" i="10"/>
  <c r="Q21" i="10"/>
  <c r="Q19" i="10"/>
  <c r="Q20" i="10"/>
  <c r="Q23" i="10"/>
  <c r="Q18" i="10"/>
  <c r="P28" i="10"/>
  <c r="P30" i="10"/>
  <c r="P35" i="10"/>
  <c r="P34" i="10"/>
  <c r="P36" i="10" s="1"/>
  <c r="P38" i="10" s="1"/>
  <c r="O20" i="10"/>
  <c r="O23" i="10"/>
  <c r="P19" i="10"/>
  <c r="P18" i="10"/>
  <c r="P20" i="10"/>
  <c r="P25" i="10"/>
  <c r="P23" i="10"/>
  <c r="P21" i="10"/>
  <c r="O21" i="10"/>
  <c r="O19" i="10"/>
  <c r="O18" i="10"/>
  <c r="N30" i="10"/>
  <c r="N27" i="10"/>
  <c r="N38" i="10"/>
  <c r="N36" i="10"/>
  <c r="N35" i="10"/>
  <c r="N34" i="10"/>
  <c r="N20" i="10"/>
  <c r="N24" i="10"/>
  <c r="N23" i="10"/>
  <c r="N19" i="10"/>
  <c r="N18" i="10"/>
  <c r="N21" i="10"/>
  <c r="M21" i="10"/>
  <c r="M19" i="10"/>
  <c r="M23" i="10"/>
  <c r="M18" i="10"/>
  <c r="L27" i="10"/>
  <c r="L30" i="10"/>
  <c r="L38" i="10"/>
  <c r="L36" i="10"/>
  <c r="L35" i="10"/>
  <c r="L34" i="10"/>
  <c r="L21" i="10"/>
  <c r="L19" i="10"/>
  <c r="L23" i="10"/>
  <c r="L18" i="10"/>
  <c r="K27" i="10"/>
  <c r="K30" i="10"/>
  <c r="K38" i="10"/>
  <c r="K36" i="10"/>
  <c r="K35" i="10"/>
  <c r="K34" i="10"/>
  <c r="J36" i="10"/>
  <c r="J35" i="10"/>
  <c r="J34" i="10"/>
  <c r="K21" i="10"/>
  <c r="K19" i="10"/>
  <c r="K23" i="10"/>
  <c r="K18" i="10"/>
  <c r="J21" i="10"/>
  <c r="E425" i="10"/>
  <c r="C425" i="10"/>
  <c r="C426" i="10" s="1"/>
  <c r="C428" i="10" s="1"/>
  <c r="D441" i="10" s="1"/>
  <c r="C424" i="10"/>
  <c r="D413" i="10"/>
  <c r="D405" i="10"/>
  <c r="D401" i="10"/>
  <c r="D398" i="10"/>
  <c r="D406" i="10" s="1"/>
  <c r="D395" i="10"/>
  <c r="H384" i="10"/>
  <c r="I384" i="10" s="1"/>
  <c r="H379" i="10"/>
  <c r="F363" i="10"/>
  <c r="D356" i="10"/>
  <c r="D344" i="10"/>
  <c r="D340" i="10"/>
  <c r="D333" i="10"/>
  <c r="D334" i="10" s="1"/>
  <c r="G317" i="10"/>
  <c r="F300" i="10"/>
  <c r="D293" i="10"/>
  <c r="E278" i="10"/>
  <c r="E271" i="10"/>
  <c r="H280" i="10" s="1"/>
  <c r="E265" i="10"/>
  <c r="E249" i="10"/>
  <c r="G231" i="10"/>
  <c r="E209" i="10"/>
  <c r="D198" i="10"/>
  <c r="E192" i="10"/>
  <c r="C192" i="10"/>
  <c r="C201" i="10" s="1"/>
  <c r="C185" i="10"/>
  <c r="C186" i="10" s="1"/>
  <c r="F173" i="10"/>
  <c r="G173" i="10" s="1"/>
  <c r="F169" i="10"/>
  <c r="E164" i="10"/>
  <c r="D136" i="10"/>
  <c r="E140" i="10" s="1"/>
  <c r="D135" i="10"/>
  <c r="E126" i="10"/>
  <c r="E122" i="10"/>
  <c r="E124" i="10" s="1"/>
  <c r="E139" i="10" s="1"/>
  <c r="C92" i="10"/>
  <c r="C94" i="10" s="1"/>
  <c r="D86" i="10"/>
  <c r="D87" i="10" s="1"/>
  <c r="F91" i="10" s="1"/>
  <c r="D53" i="10"/>
  <c r="E50" i="10"/>
  <c r="G112" i="9"/>
  <c r="G110" i="9"/>
  <c r="G120" i="9"/>
  <c r="G118" i="9"/>
  <c r="G117" i="9"/>
  <c r="G116" i="9"/>
  <c r="G105" i="9"/>
  <c r="G104" i="9"/>
  <c r="G103" i="9"/>
  <c r="G107" i="9"/>
  <c r="G102" i="9"/>
  <c r="F111" i="9"/>
  <c r="F110" i="9"/>
  <c r="F120" i="9"/>
  <c r="F118" i="9"/>
  <c r="F117" i="9"/>
  <c r="F116" i="9"/>
  <c r="F102" i="9"/>
  <c r="F103" i="9"/>
  <c r="F104" i="9"/>
  <c r="F108" i="9"/>
  <c r="F107" i="9"/>
  <c r="F105" i="9"/>
  <c r="E105" i="9"/>
  <c r="E104" i="9"/>
  <c r="E103" i="9"/>
  <c r="E107" i="9"/>
  <c r="E102" i="9"/>
  <c r="D111" i="9"/>
  <c r="D110" i="9"/>
  <c r="D120" i="9"/>
  <c r="D118" i="9"/>
  <c r="D117" i="9"/>
  <c r="D116" i="9"/>
  <c r="D104" i="9"/>
  <c r="D108" i="9"/>
  <c r="D107" i="9"/>
  <c r="D103" i="9"/>
  <c r="D102" i="9"/>
  <c r="D105" i="9"/>
  <c r="C105" i="9"/>
  <c r="C102" i="9"/>
  <c r="C103" i="9"/>
  <c r="C107" i="9"/>
  <c r="B105" i="9"/>
  <c r="B107" i="9"/>
  <c r="B103" i="9"/>
  <c r="I69" i="9"/>
  <c r="J69" i="9"/>
  <c r="K69" i="9"/>
  <c r="I70" i="9"/>
  <c r="J70" i="9"/>
  <c r="K70" i="9"/>
  <c r="I71" i="9"/>
  <c r="J71" i="9"/>
  <c r="K71" i="9"/>
  <c r="H69" i="9"/>
  <c r="H71" i="9" s="1"/>
  <c r="H70" i="9"/>
  <c r="G69" i="9"/>
  <c r="G71" i="9" s="1"/>
  <c r="G70" i="9"/>
  <c r="G67" i="9"/>
  <c r="D70" i="9"/>
  <c r="E70" i="9"/>
  <c r="F70" i="9" s="1"/>
  <c r="F71" i="9" s="1"/>
  <c r="C70" i="9"/>
  <c r="F67" i="9"/>
  <c r="C67" i="9"/>
  <c r="D67" i="9"/>
  <c r="E67" i="9"/>
  <c r="E69" i="9" s="1"/>
  <c r="E71" i="9" s="1"/>
  <c r="C68" i="9"/>
  <c r="D68" i="9"/>
  <c r="E68" i="9"/>
  <c r="F68" i="9"/>
  <c r="C69" i="9"/>
  <c r="D69" i="9"/>
  <c r="F69" i="9"/>
  <c r="C71" i="9"/>
  <c r="D71" i="9"/>
  <c r="B67" i="9"/>
  <c r="B69" i="9" s="1"/>
  <c r="B71" i="9" s="1"/>
  <c r="G68" i="9"/>
  <c r="H68" i="9"/>
  <c r="I68" i="9"/>
  <c r="J68" i="9"/>
  <c r="K68" i="9"/>
  <c r="B68" i="9"/>
  <c r="A49" i="9"/>
  <c r="A46" i="9"/>
  <c r="C178" i="9"/>
  <c r="D178" i="9" s="1"/>
  <c r="E178" i="9" s="1"/>
  <c r="F178" i="9" s="1"/>
  <c r="B178" i="9"/>
  <c r="B165" i="9"/>
  <c r="C165" i="9" s="1"/>
  <c r="I163" i="9"/>
  <c r="G163" i="9"/>
  <c r="C163" i="9"/>
  <c r="B161" i="9"/>
  <c r="C160" i="9"/>
  <c r="D160" i="9" s="1"/>
  <c r="G39" i="9"/>
  <c r="G41" i="9" s="1"/>
  <c r="G43" i="9" s="1"/>
  <c r="C23" i="9"/>
  <c r="D23" i="9" s="1"/>
  <c r="D22" i="9"/>
  <c r="I121" i="8"/>
  <c r="I122" i="8"/>
  <c r="I120" i="8"/>
  <c r="I118" i="8"/>
  <c r="I119" i="8"/>
  <c r="I115" i="8"/>
  <c r="I116" i="8"/>
  <c r="M58" i="8"/>
  <c r="M61" i="8"/>
  <c r="M60" i="8" s="1"/>
  <c r="M55" i="8"/>
  <c r="M54" i="8" s="1"/>
  <c r="G56" i="8"/>
  <c r="G58" i="8"/>
  <c r="G55" i="8"/>
  <c r="G54" i="8" s="1"/>
  <c r="H307" i="8"/>
  <c r="H308" i="8" s="1"/>
  <c r="H309" i="8" s="1"/>
  <c r="H310" i="8" s="1"/>
  <c r="G307" i="8"/>
  <c r="F307" i="8"/>
  <c r="F308" i="8" s="1"/>
  <c r="F309" i="8" s="1"/>
  <c r="F310" i="8" s="1"/>
  <c r="I306" i="8"/>
  <c r="F296" i="8"/>
  <c r="D297" i="8" s="1"/>
  <c r="G277" i="8"/>
  <c r="G278" i="8" s="1"/>
  <c r="G279" i="8" s="1"/>
  <c r="G280" i="8" s="1"/>
  <c r="G281" i="8" s="1"/>
  <c r="G282" i="8" s="1"/>
  <c r="G283" i="8" s="1"/>
  <c r="G284" i="8" s="1"/>
  <c r="F277" i="8"/>
  <c r="F278" i="8" s="1"/>
  <c r="F279" i="8" s="1"/>
  <c r="F280" i="8" s="1"/>
  <c r="F281" i="8" s="1"/>
  <c r="F282" i="8" s="1"/>
  <c r="F283" i="8" s="1"/>
  <c r="F284" i="8" s="1"/>
  <c r="G275" i="8"/>
  <c r="G276" i="8" s="1"/>
  <c r="C280" i="8" s="1"/>
  <c r="G220" i="8"/>
  <c r="E227" i="8" s="1"/>
  <c r="F220" i="8"/>
  <c r="E226" i="8" s="1"/>
  <c r="E236" i="8" s="1"/>
  <c r="E220" i="8"/>
  <c r="E225" i="8" s="1"/>
  <c r="E235" i="8" s="1"/>
  <c r="D220" i="8"/>
  <c r="E224" i="8" s="1"/>
  <c r="E229" i="8" s="1"/>
  <c r="G217" i="8"/>
  <c r="F217" i="8"/>
  <c r="E217" i="8"/>
  <c r="D217" i="8"/>
  <c r="E208" i="8"/>
  <c r="E210" i="8" s="1"/>
  <c r="G179" i="8"/>
  <c r="F179" i="8"/>
  <c r="E179" i="8"/>
  <c r="D179" i="8"/>
  <c r="F142" i="8"/>
  <c r="F140" i="8"/>
  <c r="F139" i="8"/>
  <c r="H132" i="8"/>
  <c r="G132" i="8"/>
  <c r="F136" i="8" s="1"/>
  <c r="F138" i="8" s="1"/>
  <c r="G131" i="8"/>
  <c r="H130" i="8"/>
  <c r="H129" i="8"/>
  <c r="G98" i="8"/>
  <c r="G96" i="8"/>
  <c r="A80" i="8"/>
  <c r="A89" i="8" s="1"/>
  <c r="E79" i="8"/>
  <c r="E87" i="8" s="1"/>
  <c r="H69" i="8"/>
  <c r="G101" i="8" s="1"/>
  <c r="G100" i="8" s="1"/>
  <c r="G69" i="8"/>
  <c r="G68" i="8" s="1"/>
  <c r="H67" i="8"/>
  <c r="H66" i="8"/>
  <c r="G95" i="8" s="1"/>
  <c r="M89" i="7"/>
  <c r="L89" i="7"/>
  <c r="K89" i="7"/>
  <c r="Y73" i="7"/>
  <c r="Y70" i="7"/>
  <c r="Y68" i="7"/>
  <c r="Y67" i="7"/>
  <c r="X68" i="7"/>
  <c r="X67" i="7"/>
  <c r="W68" i="7"/>
  <c r="W67" i="7"/>
  <c r="W66" i="7"/>
  <c r="Y66" i="7"/>
  <c r="X66" i="7"/>
  <c r="X70" i="7"/>
  <c r="W70" i="7"/>
  <c r="R76" i="7"/>
  <c r="R66" i="7"/>
  <c r="R67" i="7"/>
  <c r="R68" i="7"/>
  <c r="R74" i="7"/>
  <c r="R71" i="7"/>
  <c r="M97" i="7"/>
  <c r="M96" i="7"/>
  <c r="M95" i="7"/>
  <c r="M103" i="7"/>
  <c r="M106" i="7" s="1"/>
  <c r="R69" i="7" s="1"/>
  <c r="Q76" i="7"/>
  <c r="P88" i="7"/>
  <c r="Q69" i="7"/>
  <c r="Q68" i="7"/>
  <c r="Q67" i="7"/>
  <c r="Q71" i="7"/>
  <c r="Q66" i="7"/>
  <c r="P71" i="7"/>
  <c r="P76" i="7"/>
  <c r="P67" i="7"/>
  <c r="P66" i="7"/>
  <c r="P68" i="7"/>
  <c r="P74" i="7"/>
  <c r="P69" i="7"/>
  <c r="L106" i="7"/>
  <c r="L103" i="7"/>
  <c r="L98" i="7"/>
  <c r="L97" i="7"/>
  <c r="L96" i="7"/>
  <c r="L95" i="7"/>
  <c r="L104" i="7"/>
  <c r="O76" i="7"/>
  <c r="M86" i="7"/>
  <c r="M88" i="7" s="1"/>
  <c r="L87" i="7"/>
  <c r="L86" i="7"/>
  <c r="L88" i="7" s="1"/>
  <c r="L82" i="7" s="1"/>
  <c r="L81" i="7"/>
  <c r="K103" i="7"/>
  <c r="K106" i="7" s="1"/>
  <c r="M69" i="7" s="1"/>
  <c r="K99" i="7"/>
  <c r="K98" i="7"/>
  <c r="K97" i="7"/>
  <c r="K96" i="7"/>
  <c r="K95" i="7"/>
  <c r="K86" i="7"/>
  <c r="K88" i="7" s="1"/>
  <c r="K82" i="7" s="1"/>
  <c r="K83" i="7" s="1"/>
  <c r="K81" i="7"/>
  <c r="K69" i="7"/>
  <c r="X43" i="7"/>
  <c r="W43" i="7"/>
  <c r="V43" i="7"/>
  <c r="U43" i="7"/>
  <c r="N61" i="7"/>
  <c r="N59" i="7"/>
  <c r="N53" i="7"/>
  <c r="L61" i="7"/>
  <c r="N45" i="7" s="1"/>
  <c r="L59" i="7"/>
  <c r="L55" i="7"/>
  <c r="M54" i="7" s="1"/>
  <c r="L54" i="7"/>
  <c r="M53" i="7" s="1"/>
  <c r="M59" i="7" s="1"/>
  <c r="M61" i="7" s="1"/>
  <c r="L53" i="7"/>
  <c r="M42" i="7"/>
  <c r="L42" i="7"/>
  <c r="K45" i="7"/>
  <c r="L47" i="7" s="1"/>
  <c r="M26" i="7"/>
  <c r="M28" i="7" s="1"/>
  <c r="M27" i="7"/>
  <c r="L26" i="7"/>
  <c r="L28" i="7" s="1"/>
  <c r="O13" i="7" s="1"/>
  <c r="M10" i="7"/>
  <c r="N10" i="7" s="1"/>
  <c r="L11" i="7"/>
  <c r="L15" i="7"/>
  <c r="L10" i="7"/>
  <c r="K13" i="7"/>
  <c r="P143" i="6"/>
  <c r="P142" i="6"/>
  <c r="P141" i="6"/>
  <c r="P148" i="6"/>
  <c r="P144" i="6"/>
  <c r="K170" i="6"/>
  <c r="L167" i="6"/>
  <c r="K161" i="6"/>
  <c r="K162" i="6"/>
  <c r="K163" i="6" s="1"/>
  <c r="K160" i="6"/>
  <c r="L161" i="6"/>
  <c r="L162" i="6"/>
  <c r="L163" i="6"/>
  <c r="L160" i="6"/>
  <c r="J161" i="6"/>
  <c r="J162" i="6"/>
  <c r="J163" i="6"/>
  <c r="J160" i="6"/>
  <c r="M155" i="6"/>
  <c r="M154" i="6"/>
  <c r="O144" i="6"/>
  <c r="O142" i="6"/>
  <c r="O146" i="6"/>
  <c r="O141" i="6"/>
  <c r="N144" i="6"/>
  <c r="N142" i="6"/>
  <c r="N141" i="6"/>
  <c r="N146" i="6"/>
  <c r="M144" i="6"/>
  <c r="M142" i="6"/>
  <c r="M146" i="6"/>
  <c r="M141" i="6"/>
  <c r="L144" i="6"/>
  <c r="F43" i="11" l="1"/>
  <c r="H43" i="11" s="1"/>
  <c r="O29" i="11" s="1"/>
  <c r="U57" i="11" s="1"/>
  <c r="U59" i="11" s="1"/>
  <c r="U61" i="11" s="1"/>
  <c r="O37" i="11" s="1"/>
  <c r="E44" i="11"/>
  <c r="L27" i="11"/>
  <c r="K29" i="11"/>
  <c r="S57" i="11" s="1"/>
  <c r="S59" i="11" s="1"/>
  <c r="S61" i="11" s="1"/>
  <c r="K37" i="11" s="1"/>
  <c r="K38" i="11" s="1"/>
  <c r="O26" i="11"/>
  <c r="P26" i="11" s="1"/>
  <c r="T59" i="11"/>
  <c r="T61" i="11" s="1"/>
  <c r="M37" i="11" s="1"/>
  <c r="M38" i="11" s="1"/>
  <c r="R36" i="10"/>
  <c r="R38" i="10" s="1"/>
  <c r="D407" i="10"/>
  <c r="D408" i="10" s="1"/>
  <c r="H380" i="10" s="1"/>
  <c r="I380" i="10" s="1"/>
  <c r="D402" i="10"/>
  <c r="I379" i="10"/>
  <c r="E424" i="10" s="1"/>
  <c r="E426" i="10" s="1"/>
  <c r="E428" i="10" s="1"/>
  <c r="D341" i="10"/>
  <c r="D342" i="10"/>
  <c r="D345" i="10"/>
  <c r="G322" i="10"/>
  <c r="H322" i="10" s="1"/>
  <c r="H317" i="10"/>
  <c r="E250" i="10"/>
  <c r="E262" i="10"/>
  <c r="H231" i="10"/>
  <c r="F171" i="10"/>
  <c r="C203" i="10" s="1"/>
  <c r="C205" i="10" s="1"/>
  <c r="G170" i="10" s="1"/>
  <c r="G174" i="10" s="1"/>
  <c r="G169" i="10"/>
  <c r="G171" i="10" s="1"/>
  <c r="E208" i="10" s="1"/>
  <c r="E210" i="10" s="1"/>
  <c r="E212" i="10" s="1"/>
  <c r="D72" i="10"/>
  <c r="D68" i="10"/>
  <c r="D70" i="10" s="1"/>
  <c r="F90" i="10" s="1"/>
  <c r="F92" i="10" s="1"/>
  <c r="F94" i="10" s="1"/>
  <c r="E141" i="10"/>
  <c r="E143" i="10" s="1"/>
  <c r="J165" i="9"/>
  <c r="K165" i="9" s="1"/>
  <c r="E177" i="9"/>
  <c r="E179" i="9" s="1"/>
  <c r="E181" i="9" s="1"/>
  <c r="I169" i="9" s="1"/>
  <c r="H165" i="9"/>
  <c r="I165" i="9" s="1"/>
  <c r="D177" i="9"/>
  <c r="D179" i="9" s="1"/>
  <c r="D181" i="9" s="1"/>
  <c r="G169" i="9" s="1"/>
  <c r="D165" i="9"/>
  <c r="E165" i="9" s="1"/>
  <c r="B177" i="9"/>
  <c r="B179" i="9" s="1"/>
  <c r="B181" i="9" s="1"/>
  <c r="C161" i="9"/>
  <c r="B163" i="9"/>
  <c r="C166" i="9" s="1"/>
  <c r="C162" i="9" s="1"/>
  <c r="D162" i="9" s="1"/>
  <c r="E167" i="9" s="1"/>
  <c r="E160" i="9"/>
  <c r="C24" i="9"/>
  <c r="C28" i="9" s="1"/>
  <c r="D24" i="9"/>
  <c r="D28" i="9" s="1"/>
  <c r="H39" i="9"/>
  <c r="F141" i="8"/>
  <c r="G57" i="8"/>
  <c r="M56" i="8"/>
  <c r="M57" i="8" s="1"/>
  <c r="H131" i="8"/>
  <c r="H68" i="8"/>
  <c r="G308" i="8"/>
  <c r="I307" i="8"/>
  <c r="E237" i="8"/>
  <c r="E239" i="8" s="1"/>
  <c r="G237" i="8"/>
  <c r="G97" i="8"/>
  <c r="X73" i="7"/>
  <c r="W72" i="7"/>
  <c r="L66" i="7"/>
  <c r="L80" i="7"/>
  <c r="L83" i="7" s="1"/>
  <c r="N66" i="7" s="1"/>
  <c r="O47" i="7"/>
  <c r="P47" i="7" s="1"/>
  <c r="V42" i="7"/>
  <c r="V44" i="7" s="1"/>
  <c r="V46" i="7" s="1"/>
  <c r="N42" i="7"/>
  <c r="O42" i="7" s="1"/>
  <c r="L43" i="7"/>
  <c r="M47" i="7"/>
  <c r="N47" i="7" s="1"/>
  <c r="P15" i="7"/>
  <c r="Q15" i="7" s="1"/>
  <c r="O10" i="7"/>
  <c r="P10" i="7" s="1"/>
  <c r="L13" i="7"/>
  <c r="M15" i="7" s="1"/>
  <c r="V48" i="7"/>
  <c r="F131" i="6"/>
  <c r="E138" i="6"/>
  <c r="E137" i="6"/>
  <c r="E136" i="6"/>
  <c r="E135" i="6"/>
  <c r="B131" i="6"/>
  <c r="C131" i="6" s="1"/>
  <c r="D131" i="6" s="1"/>
  <c r="E131" i="6" s="1"/>
  <c r="E126" i="6"/>
  <c r="G131" i="6" s="1"/>
  <c r="K125" i="6"/>
  <c r="B124" i="6"/>
  <c r="C124" i="6" s="1"/>
  <c r="L92" i="6"/>
  <c r="M93" i="6" s="1"/>
  <c r="L89" i="6"/>
  <c r="L88" i="6"/>
  <c r="M86" i="6"/>
  <c r="L85" i="6"/>
  <c r="M83" i="6"/>
  <c r="M90" i="6" s="1"/>
  <c r="M80" i="6"/>
  <c r="M77" i="6"/>
  <c r="M74" i="6"/>
  <c r="Q54" i="6"/>
  <c r="Q51" i="6"/>
  <c r="Q52" i="6"/>
  <c r="Q59" i="6"/>
  <c r="Q56" i="6"/>
  <c r="P53" i="6"/>
  <c r="P52" i="6"/>
  <c r="P56" i="6"/>
  <c r="P54" i="6"/>
  <c r="P51" i="6"/>
  <c r="O51" i="6"/>
  <c r="O58" i="6"/>
  <c r="O53" i="6"/>
  <c r="O52" i="6"/>
  <c r="O56" i="6"/>
  <c r="N56" i="6"/>
  <c r="N52" i="6" s="1"/>
  <c r="N51" i="6"/>
  <c r="N54" i="6" s="1"/>
  <c r="M52" i="6"/>
  <c r="M56" i="6"/>
  <c r="M51" i="6"/>
  <c r="M54" i="6" s="1"/>
  <c r="L54" i="6"/>
  <c r="L51" i="6"/>
  <c r="L52" i="6"/>
  <c r="L56" i="6"/>
  <c r="K54" i="6"/>
  <c r="K52" i="6"/>
  <c r="K56" i="6"/>
  <c r="K51" i="6"/>
  <c r="J54" i="6"/>
  <c r="O38" i="11" l="1"/>
  <c r="F44" i="11"/>
  <c r="H44" i="11" s="1"/>
  <c r="Q29" i="11" s="1"/>
  <c r="E45" i="11"/>
  <c r="F45" i="11" s="1"/>
  <c r="H45" i="11" s="1"/>
  <c r="L29" i="11"/>
  <c r="M32" i="11" s="1"/>
  <c r="M28" i="11" s="1"/>
  <c r="M27" i="11"/>
  <c r="Q26" i="11"/>
  <c r="R26" i="11" s="1"/>
  <c r="D419" i="10"/>
  <c r="F421" i="10" s="1"/>
  <c r="H381" i="10"/>
  <c r="I388" i="10"/>
  <c r="D442" i="10"/>
  <c r="D440" i="10" s="1"/>
  <c r="I390" i="10" s="1"/>
  <c r="D346" i="10"/>
  <c r="D347" i="10" s="1"/>
  <c r="E266" i="10"/>
  <c r="G236" i="10"/>
  <c r="E267" i="10"/>
  <c r="D294" i="10" s="1"/>
  <c r="G233" i="10"/>
  <c r="H284" i="10" s="1"/>
  <c r="D216" i="10"/>
  <c r="D217" i="10" s="1"/>
  <c r="G177" i="10" s="1"/>
  <c r="G175" i="10"/>
  <c r="D76" i="10"/>
  <c r="D74" i="10"/>
  <c r="E128" i="10"/>
  <c r="E145" i="10"/>
  <c r="E130" i="10"/>
  <c r="E147" i="10"/>
  <c r="E148" i="10" s="1"/>
  <c r="K170" i="9"/>
  <c r="I171" i="9"/>
  <c r="C169" i="9"/>
  <c r="C171" i="9"/>
  <c r="F160" i="9"/>
  <c r="B117" i="9"/>
  <c r="B118" i="9"/>
  <c r="B120" i="9" s="1"/>
  <c r="C30" i="9"/>
  <c r="C32" i="9" s="1"/>
  <c r="C39" i="9"/>
  <c r="C41" i="9" s="1"/>
  <c r="C43" i="9" s="1"/>
  <c r="D30" i="9"/>
  <c r="D32" i="9" s="1"/>
  <c r="D39" i="9"/>
  <c r="I39" i="9"/>
  <c r="H41" i="9"/>
  <c r="H43" i="9" s="1"/>
  <c r="D161" i="9"/>
  <c r="I308" i="8"/>
  <c r="G309" i="8"/>
  <c r="M66" i="7"/>
  <c r="M68" i="7" s="1"/>
  <c r="L69" i="7"/>
  <c r="O66" i="7"/>
  <c r="P42" i="7"/>
  <c r="L45" i="7"/>
  <c r="U42" i="7" s="1"/>
  <c r="U44" i="7" s="1"/>
  <c r="M43" i="7"/>
  <c r="Q10" i="7"/>
  <c r="N15" i="7"/>
  <c r="O15" i="7" s="1"/>
  <c r="M11" i="7"/>
  <c r="C126" i="6"/>
  <c r="D124" i="6"/>
  <c r="B126" i="6"/>
  <c r="V57" i="11" l="1"/>
  <c r="V59" i="11" s="1"/>
  <c r="V61" i="11" s="1"/>
  <c r="Q37" i="11" s="1"/>
  <c r="Q39" i="11" s="1"/>
  <c r="M79" i="11"/>
  <c r="M80" i="11" s="1"/>
  <c r="N27" i="11" s="1"/>
  <c r="N28" i="11"/>
  <c r="N29" i="11"/>
  <c r="O32" i="11" s="1"/>
  <c r="O27" i="11"/>
  <c r="P27" i="11" s="1"/>
  <c r="S26" i="11"/>
  <c r="H382" i="10"/>
  <c r="D415" i="10" s="1"/>
  <c r="D417" i="10" s="1"/>
  <c r="I386" i="10"/>
  <c r="D357" i="10"/>
  <c r="D359" i="10" s="1"/>
  <c r="H319" i="10" s="1"/>
  <c r="H236" i="10"/>
  <c r="G232" i="10"/>
  <c r="E268" i="10"/>
  <c r="G160" i="9"/>
  <c r="E39" i="9"/>
  <c r="D41" i="9"/>
  <c r="D43" i="9" s="1"/>
  <c r="J39" i="9"/>
  <c r="J41" i="9" s="1"/>
  <c r="J43" i="9" s="1"/>
  <c r="I41" i="9"/>
  <c r="I43" i="9" s="1"/>
  <c r="D163" i="9"/>
  <c r="E161" i="9"/>
  <c r="G310" i="8"/>
  <c r="I310" i="8" s="1"/>
  <c r="I309" i="8"/>
  <c r="I312" i="8" s="1"/>
  <c r="N68" i="7"/>
  <c r="M73" i="7"/>
  <c r="Q42" i="7"/>
  <c r="M45" i="7"/>
  <c r="N44" i="7" s="1"/>
  <c r="N43" i="7"/>
  <c r="O43" i="7" s="1"/>
  <c r="R10" i="7"/>
  <c r="M13" i="7"/>
  <c r="N11" i="7"/>
  <c r="E124" i="6"/>
  <c r="D126" i="6"/>
  <c r="E128" i="6" s="1"/>
  <c r="E125" i="6" s="1"/>
  <c r="F125" i="6" s="1"/>
  <c r="G129" i="6" s="1"/>
  <c r="Q27" i="11" l="1"/>
  <c r="T26" i="11"/>
  <c r="O28" i="11"/>
  <c r="P28" i="11" s="1"/>
  <c r="P29" i="11" s="1"/>
  <c r="Q33" i="11" s="1"/>
  <c r="Q28" i="11" s="1"/>
  <c r="H320" i="10"/>
  <c r="F362" i="10" s="1"/>
  <c r="F364" i="10" s="1"/>
  <c r="F366" i="10" s="1"/>
  <c r="H323" i="10"/>
  <c r="G234" i="10"/>
  <c r="H281" i="10" s="1"/>
  <c r="H282" i="10" s="1"/>
  <c r="H232" i="10"/>
  <c r="H160" i="9"/>
  <c r="I160" i="9"/>
  <c r="J160" i="9" s="1"/>
  <c r="F39" i="9"/>
  <c r="F41" i="9" s="1"/>
  <c r="F43" i="9" s="1"/>
  <c r="E41" i="9"/>
  <c r="E43" i="9" s="1"/>
  <c r="E163" i="9"/>
  <c r="N69" i="7"/>
  <c r="O71" i="7" s="1"/>
  <c r="O67" i="7" s="1"/>
  <c r="O69" i="7" s="1"/>
  <c r="O68" i="7"/>
  <c r="O44" i="7"/>
  <c r="P44" i="7" s="1"/>
  <c r="Q50" i="7" s="1"/>
  <c r="N49" i="7"/>
  <c r="O45" i="7"/>
  <c r="W42" i="7" s="1"/>
  <c r="W44" i="7" s="1"/>
  <c r="W46" i="7" s="1"/>
  <c r="P43" i="7"/>
  <c r="N13" i="7"/>
  <c r="O12" i="7" s="1"/>
  <c r="O11" i="7"/>
  <c r="P11" i="7" s="1"/>
  <c r="F124" i="6"/>
  <c r="M106" i="11" l="1"/>
  <c r="M107" i="11" s="1"/>
  <c r="R27" i="11" s="1"/>
  <c r="R28" i="11"/>
  <c r="S33" i="11" s="1"/>
  <c r="D370" i="10"/>
  <c r="H325" i="10"/>
  <c r="D289" i="10"/>
  <c r="D290" i="10" s="1"/>
  <c r="H238" i="10"/>
  <c r="D295" i="10"/>
  <c r="D296" i="10" s="1"/>
  <c r="H233" i="10" s="1"/>
  <c r="H234" i="10" s="1"/>
  <c r="F299" i="10" s="1"/>
  <c r="F301" i="10" s="1"/>
  <c r="F303" i="10" s="1"/>
  <c r="D308" i="10" s="1"/>
  <c r="D307" i="10" s="1"/>
  <c r="H242" i="10" s="1"/>
  <c r="F306" i="10"/>
  <c r="H239" i="10"/>
  <c r="K160" i="9"/>
  <c r="C177" i="9"/>
  <c r="C179" i="9" s="1"/>
  <c r="C181" i="9" s="1"/>
  <c r="E169" i="9" s="1"/>
  <c r="F165" i="9"/>
  <c r="X49" i="7"/>
  <c r="W49" i="7"/>
  <c r="P45" i="7"/>
  <c r="Q43" i="7"/>
  <c r="Q45" i="7" s="1"/>
  <c r="X42" i="7" s="1"/>
  <c r="X44" i="7" s="1"/>
  <c r="O16" i="7"/>
  <c r="P12" i="7"/>
  <c r="Q11" i="7"/>
  <c r="F126" i="6"/>
  <c r="G124" i="6"/>
  <c r="S27" i="11" l="1"/>
  <c r="R29" i="11"/>
  <c r="D369" i="10"/>
  <c r="H327" i="10"/>
  <c r="E170" i="9"/>
  <c r="G171" i="9"/>
  <c r="F161" i="9"/>
  <c r="G165" i="9"/>
  <c r="Q13" i="7"/>
  <c r="R15" i="7" s="1"/>
  <c r="R11" i="7"/>
  <c r="R13" i="7" s="1"/>
  <c r="Q17" i="7"/>
  <c r="P13" i="7"/>
  <c r="G126" i="6"/>
  <c r="H131" i="6" s="1"/>
  <c r="I131" i="6" s="1"/>
  <c r="J131" i="6" s="1"/>
  <c r="K131" i="6" s="1"/>
  <c r="S29" i="11" l="1"/>
  <c r="W57" i="11" s="1"/>
  <c r="W59" i="11" s="1"/>
  <c r="W61" i="11" s="1"/>
  <c r="S37" i="11" s="1"/>
  <c r="T27" i="11"/>
  <c r="T29" i="11" s="1"/>
  <c r="G161" i="9"/>
  <c r="F163" i="9"/>
  <c r="G166" i="9" s="1"/>
  <c r="G162" i="9" s="1"/>
  <c r="H162" i="9" s="1"/>
  <c r="H124" i="6"/>
  <c r="S38" i="11" l="1"/>
  <c r="U39" i="11"/>
  <c r="H161" i="9"/>
  <c r="H126" i="6"/>
  <c r="I126" i="6" s="1"/>
  <c r="I124" i="6"/>
  <c r="J124" i="6" s="1"/>
  <c r="I161" i="9" l="1"/>
  <c r="H163" i="9"/>
  <c r="I166" i="9" s="1"/>
  <c r="I162" i="9" s="1"/>
  <c r="J162" i="9" s="1"/>
  <c r="K167" i="9" s="1"/>
  <c r="K124" i="6"/>
  <c r="J126" i="6"/>
  <c r="K126" i="6" s="1"/>
  <c r="J161" i="9" l="1"/>
  <c r="L120" i="5"/>
  <c r="K122" i="5"/>
  <c r="K124" i="5"/>
  <c r="K114" i="5"/>
  <c r="I110" i="5"/>
  <c r="I111" i="5"/>
  <c r="I114" i="5"/>
  <c r="E124" i="5"/>
  <c r="E114" i="5"/>
  <c r="J69" i="5"/>
  <c r="O81" i="5"/>
  <c r="O83" i="5"/>
  <c r="O73" i="5"/>
  <c r="N79" i="5"/>
  <c r="L73" i="5"/>
  <c r="K78" i="5"/>
  <c r="J70" i="5"/>
  <c r="I70" i="5"/>
  <c r="I73" i="5"/>
  <c r="G81" i="5"/>
  <c r="F81" i="5"/>
  <c r="F83" i="5"/>
  <c r="F73" i="5"/>
  <c r="C73" i="5"/>
  <c r="L114" i="5"/>
  <c r="J114" i="5"/>
  <c r="G114" i="5"/>
  <c r="H114" i="5" s="1"/>
  <c r="C114" i="5"/>
  <c r="C110" i="5" s="1"/>
  <c r="C112" i="5" s="1"/>
  <c r="D112" i="5"/>
  <c r="J109" i="5"/>
  <c r="K109" i="5" s="1"/>
  <c r="F109" i="5"/>
  <c r="G109" i="5" s="1"/>
  <c r="P73" i="5"/>
  <c r="D73" i="5"/>
  <c r="E73" i="5" s="1"/>
  <c r="K71" i="5"/>
  <c r="K68" i="5" s="1"/>
  <c r="L68" i="5" s="1"/>
  <c r="H71" i="5"/>
  <c r="E71" i="5"/>
  <c r="E68" i="5" s="1"/>
  <c r="F68" i="5" s="1"/>
  <c r="N68" i="5"/>
  <c r="O68" i="5" s="1"/>
  <c r="D68" i="5"/>
  <c r="E26" i="5"/>
  <c r="E25" i="5"/>
  <c r="K161" i="9" l="1"/>
  <c r="K163" i="9" s="1"/>
  <c r="F177" i="9" s="1"/>
  <c r="F179" i="9" s="1"/>
  <c r="F181" i="9" s="1"/>
  <c r="J163" i="9"/>
  <c r="O69" i="5"/>
  <c r="O71" i="5" s="1"/>
  <c r="P85" i="5" s="1"/>
  <c r="K110" i="5"/>
  <c r="K112" i="5" s="1"/>
  <c r="D117" i="5"/>
  <c r="D122" i="5" s="1"/>
  <c r="M73" i="5"/>
  <c r="N73" i="5" s="1"/>
  <c r="C69" i="5"/>
  <c r="C71" i="5" s="1"/>
  <c r="J73" i="5"/>
  <c r="K73" i="5" s="1"/>
  <c r="G68" i="5"/>
  <c r="M68" i="5"/>
  <c r="D109" i="5"/>
  <c r="E109" i="5" s="1"/>
  <c r="D114" i="5"/>
  <c r="G110" i="5"/>
  <c r="G112" i="5" s="1"/>
  <c r="F124" i="5" l="1"/>
  <c r="D69" i="5"/>
  <c r="D71" i="5" s="1"/>
  <c r="E78" i="5" s="1"/>
  <c r="E81" i="5" s="1"/>
  <c r="G73" i="5"/>
  <c r="H73" i="5" s="1"/>
  <c r="F69" i="5"/>
  <c r="L69" i="5"/>
  <c r="M69" i="5" s="1"/>
  <c r="M71" i="5" s="1"/>
  <c r="G83" i="5"/>
  <c r="H83" i="5" s="1"/>
  <c r="E110" i="5"/>
  <c r="E112" i="5" s="1"/>
  <c r="F117" i="5" s="1"/>
  <c r="F114" i="5"/>
  <c r="E122" i="5" l="1"/>
  <c r="F122" i="5" s="1"/>
  <c r="F71" i="5"/>
  <c r="G69" i="5"/>
  <c r="G71" i="5" s="1"/>
  <c r="L71" i="5"/>
  <c r="H79" i="5"/>
  <c r="H75" i="5" s="1"/>
  <c r="H70" i="5" s="1"/>
  <c r="G124" i="5" l="1"/>
  <c r="H124" i="5" s="1"/>
  <c r="G122" i="5"/>
  <c r="K76" i="5"/>
  <c r="H68" i="5"/>
  <c r="I68" i="5" s="1"/>
  <c r="I69" i="5"/>
  <c r="H118" i="5"/>
  <c r="H116" i="5" s="1"/>
  <c r="H111" i="5" s="1"/>
  <c r="J115" i="5" l="1"/>
  <c r="H109" i="5"/>
  <c r="I109" i="5" s="1"/>
  <c r="I71" i="5"/>
  <c r="J68" i="5"/>
  <c r="J71" i="5" s="1"/>
  <c r="K81" i="5" s="1"/>
  <c r="H122" i="5"/>
  <c r="I112" i="5" l="1"/>
  <c r="J117" i="5" s="1"/>
  <c r="J122" i="5" s="1"/>
  <c r="L83" i="5"/>
  <c r="M83" i="5" s="1"/>
  <c r="N83" i="5" s="1"/>
  <c r="L81" i="5"/>
  <c r="M81" i="5" s="1"/>
  <c r="N81" i="5" s="1"/>
  <c r="L124" i="5" l="1"/>
  <c r="P83" i="5" l="1"/>
  <c r="AB87" i="4" l="1"/>
  <c r="AF90" i="4"/>
  <c r="AF94" i="4"/>
  <c r="AE99" i="4"/>
  <c r="AE88" i="4"/>
  <c r="AE85" i="4"/>
  <c r="AE86" i="4"/>
  <c r="AE90" i="4"/>
  <c r="AD85" i="4"/>
  <c r="AD99" i="4"/>
  <c r="AD97" i="4"/>
  <c r="AD91" i="4"/>
  <c r="AD90" i="4"/>
  <c r="AD88" i="4"/>
  <c r="AC85" i="4"/>
  <c r="AC87" i="4"/>
  <c r="AC88" i="4"/>
  <c r="AC90" i="4"/>
  <c r="Y86" i="4"/>
  <c r="AB86" i="4"/>
  <c r="AB88" i="4"/>
  <c r="AB85" i="4"/>
  <c r="AB90" i="4"/>
  <c r="AA85" i="4"/>
  <c r="AA87" i="4"/>
  <c r="AA92" i="4"/>
  <c r="AA90" i="4"/>
  <c r="Z85" i="4"/>
  <c r="Z88" i="4"/>
  <c r="AA88" i="4"/>
  <c r="Z90" i="4"/>
  <c r="Z87" i="4"/>
  <c r="Y87" i="4"/>
  <c r="Y88" i="4"/>
  <c r="Y85" i="4"/>
  <c r="Y90" i="4"/>
  <c r="X90" i="4"/>
  <c r="W90" i="4"/>
  <c r="X85" i="4"/>
  <c r="X87" i="4"/>
  <c r="X92" i="4"/>
  <c r="X98" i="4"/>
  <c r="X88" i="4"/>
  <c r="W85" i="4"/>
  <c r="W88" i="4"/>
  <c r="W99" i="4"/>
  <c r="V99" i="4"/>
  <c r="V88" i="4"/>
  <c r="V85" i="4"/>
  <c r="V86" i="4"/>
  <c r="V90" i="4"/>
  <c r="U85" i="4"/>
  <c r="U99" i="4"/>
  <c r="U98" i="4"/>
  <c r="U88" i="4"/>
  <c r="U90" i="4"/>
  <c r="T90" i="4"/>
  <c r="T85" i="4"/>
  <c r="T88" i="4"/>
  <c r="S88" i="4"/>
  <c r="S85" i="4"/>
  <c r="S86" i="4"/>
  <c r="S90" i="4"/>
  <c r="R90" i="4"/>
  <c r="Q90" i="4"/>
  <c r="R85" i="4"/>
  <c r="R99" i="4"/>
  <c r="R97" i="4"/>
  <c r="R88" i="4"/>
  <c r="Q85" i="4"/>
  <c r="Q88" i="4"/>
  <c r="P88" i="4"/>
  <c r="P85" i="4"/>
  <c r="P86" i="4"/>
  <c r="P90" i="4"/>
  <c r="O88" i="4"/>
  <c r="M90" i="4"/>
  <c r="S99" i="4"/>
  <c r="T99" i="4" s="1"/>
  <c r="O85" i="4"/>
  <c r="M85" i="4"/>
  <c r="AC55" i="4"/>
  <c r="Y71" i="4"/>
  <c r="AB75" i="4"/>
  <c r="Y70" i="4" s="1"/>
  <c r="Y72" i="4" s="1"/>
  <c r="AC51" i="4"/>
  <c r="AB49" i="4"/>
  <c r="AB47" i="4"/>
  <c r="AB51" i="4"/>
  <c r="AB46" i="4"/>
  <c r="AA46" i="4"/>
  <c r="AA58" i="4"/>
  <c r="AA51" i="4"/>
  <c r="AA49" i="4"/>
  <c r="Z51" i="4"/>
  <c r="Z46" i="4"/>
  <c r="Z49" i="4"/>
  <c r="Y49" i="4"/>
  <c r="Y47" i="4"/>
  <c r="Y51" i="4"/>
  <c r="Y46" i="4"/>
  <c r="X46" i="4"/>
  <c r="X51" i="4"/>
  <c r="X49" i="4"/>
  <c r="W51" i="4"/>
  <c r="V51" i="4"/>
  <c r="U51" i="4"/>
  <c r="U47" i="4"/>
  <c r="U49" i="4"/>
  <c r="T51" i="4"/>
  <c r="S60" i="4"/>
  <c r="T60" i="4" s="1"/>
  <c r="S51" i="4"/>
  <c r="R60" i="4"/>
  <c r="R49" i="4"/>
  <c r="R51" i="4"/>
  <c r="Q62" i="4"/>
  <c r="Q51" i="4"/>
  <c r="Q46" i="4"/>
  <c r="Q49" i="4"/>
  <c r="P49" i="4"/>
  <c r="P47" i="4"/>
  <c r="P51" i="4"/>
  <c r="P46" i="4"/>
  <c r="O46" i="4"/>
  <c r="O49" i="4"/>
  <c r="O78" i="4"/>
  <c r="L74" i="4" s="1"/>
  <c r="L75" i="4" s="1"/>
  <c r="L46" i="4" s="1"/>
  <c r="L49" i="4" s="1"/>
  <c r="M51" i="4" s="1"/>
  <c r="L88" i="4" l="1"/>
  <c r="M47" i="4"/>
  <c r="N51" i="4"/>
  <c r="O51" i="4" s="1"/>
  <c r="L62" i="4"/>
  <c r="M46" i="4"/>
  <c r="M49" i="4" s="1"/>
  <c r="N49" i="4" s="1"/>
  <c r="M86" i="4" l="1"/>
  <c r="M88" i="4" s="1"/>
  <c r="N88" i="4" s="1"/>
  <c r="N90" i="4"/>
  <c r="O90" i="4" s="1"/>
  <c r="O58" i="4"/>
  <c r="O60" i="4" s="1"/>
  <c r="P60" i="4" s="1"/>
  <c r="Q60" i="4" s="1"/>
  <c r="R59" i="4" s="1"/>
  <c r="R53" i="4" s="1"/>
  <c r="R48" i="4" s="1"/>
  <c r="N46" i="4"/>
  <c r="M54" i="4"/>
  <c r="N54" i="4" s="1"/>
  <c r="O54" i="4" s="1"/>
  <c r="N85" i="4" l="1"/>
  <c r="O97" i="4"/>
  <c r="O99" i="4" s="1"/>
  <c r="P99" i="4" s="1"/>
  <c r="Q99" i="4" s="1"/>
  <c r="M62" i="4"/>
  <c r="N62" i="4" s="1"/>
  <c r="O62" i="4" s="1"/>
  <c r="P54" i="4" s="1"/>
  <c r="Q54" i="4" s="1"/>
  <c r="R54" i="4" s="1"/>
  <c r="R46" i="4"/>
  <c r="S46" i="4" s="1"/>
  <c r="S47" i="4"/>
  <c r="S48" i="4"/>
  <c r="T48" i="4" s="1"/>
  <c r="S49" i="4" l="1"/>
  <c r="T49" i="4" s="1"/>
  <c r="U53" i="4" l="1"/>
  <c r="U48" i="4" s="1"/>
  <c r="T46" i="4"/>
  <c r="V48" i="4" l="1"/>
  <c r="W48" i="4" s="1"/>
  <c r="X52" i="4" s="1"/>
  <c r="U46" i="4"/>
  <c r="V46" i="4" s="1"/>
  <c r="V47" i="4"/>
  <c r="W46" i="4" l="1"/>
  <c r="W49" i="4" s="1"/>
  <c r="X58" i="4" s="1"/>
  <c r="X60" i="4" s="1"/>
  <c r="Y60" i="4" s="1"/>
  <c r="Z60" i="4" s="1"/>
  <c r="AA60" i="4" s="1"/>
  <c r="AB60" i="4" s="1"/>
  <c r="V49" i="4"/>
  <c r="H243" i="3" l="1"/>
  <c r="H250" i="3"/>
  <c r="H249" i="3"/>
  <c r="H247" i="3"/>
  <c r="H245" i="3"/>
  <c r="G245" i="3"/>
  <c r="G243" i="3"/>
  <c r="G244" i="3"/>
  <c r="G247" i="3"/>
  <c r="F243" i="3"/>
  <c r="F245" i="3"/>
  <c r="F250" i="3"/>
  <c r="F249" i="3"/>
  <c r="F247" i="3"/>
  <c r="E245" i="3"/>
  <c r="E244" i="3"/>
  <c r="E243" i="3"/>
  <c r="E247" i="3"/>
  <c r="D243" i="3"/>
  <c r="D250" i="3"/>
  <c r="D249" i="3"/>
  <c r="D247" i="3"/>
  <c r="D245" i="3"/>
  <c r="C245" i="3"/>
  <c r="C244" i="3"/>
  <c r="C247" i="3"/>
  <c r="F207" i="3"/>
  <c r="E205" i="3"/>
  <c r="F208" i="3" s="1"/>
  <c r="F209" i="3" s="1"/>
  <c r="E203" i="3"/>
  <c r="D187" i="3"/>
  <c r="F142" i="3"/>
  <c r="F140" i="3"/>
  <c r="F137" i="3"/>
  <c r="F141" i="3" s="1"/>
  <c r="F143" i="3" s="1"/>
  <c r="G129" i="3"/>
  <c r="E121" i="3" s="1"/>
  <c r="F121" i="3" s="1"/>
  <c r="D112" i="3"/>
  <c r="E112" i="3" s="1"/>
  <c r="C118" i="3"/>
  <c r="C113" i="3" s="1"/>
  <c r="C114" i="3" s="1"/>
  <c r="E75" i="3"/>
  <c r="F75" i="3" s="1"/>
  <c r="G75" i="3" s="1"/>
  <c r="F95" i="3"/>
  <c r="E81" i="3" s="1"/>
  <c r="G81" i="3" s="1"/>
  <c r="D79" i="3"/>
  <c r="C79" i="3"/>
  <c r="B79" i="3"/>
  <c r="B76" i="3" s="1"/>
  <c r="C43" i="3"/>
  <c r="C40" i="3" s="1"/>
  <c r="D118" i="3" l="1"/>
  <c r="H75" i="3"/>
  <c r="F112" i="3"/>
  <c r="D113" i="3"/>
  <c r="E113" i="3" s="1"/>
  <c r="C41" i="3"/>
  <c r="D43" i="3"/>
  <c r="D40" i="3" s="1"/>
  <c r="D41" i="3" s="1"/>
  <c r="B77" i="3"/>
  <c r="C76" i="3"/>
  <c r="G112" i="3" l="1"/>
  <c r="D114" i="3"/>
  <c r="E114" i="3"/>
  <c r="C77" i="3"/>
  <c r="D76" i="3"/>
  <c r="G118" i="3" l="1"/>
  <c r="F118" i="3"/>
  <c r="F113" i="3"/>
  <c r="D77" i="3"/>
  <c r="E76" i="3"/>
  <c r="E77" i="3" l="1"/>
  <c r="F76" i="3"/>
  <c r="G113" i="3"/>
  <c r="G114" i="3" s="1"/>
  <c r="F114" i="3"/>
  <c r="F77" i="3" l="1"/>
  <c r="G79" i="3" s="1"/>
  <c r="H79" i="3" s="1"/>
  <c r="G76" i="3" l="1"/>
  <c r="H76" i="3" l="1"/>
  <c r="H77" i="3" s="1"/>
  <c r="G77" i="3"/>
  <c r="H249" i="2" l="1"/>
  <c r="I249" i="2" s="1"/>
  <c r="G249" i="2"/>
  <c r="F249" i="2"/>
  <c r="B249" i="2"/>
  <c r="C249" i="2" s="1"/>
  <c r="D249" i="2" s="1"/>
  <c r="C245" i="2"/>
  <c r="D245" i="2" s="1"/>
  <c r="E421" i="2"/>
  <c r="F413" i="2"/>
  <c r="E410" i="2"/>
  <c r="E411" i="2" s="1"/>
  <c r="F415" i="2" s="1"/>
  <c r="G303" i="2"/>
  <c r="D301" i="2"/>
  <c r="I297" i="2"/>
  <c r="F283" i="2"/>
  <c r="H271" i="2"/>
  <c r="I271" i="2" s="1"/>
  <c r="G271" i="2"/>
  <c r="D271" i="2"/>
  <c r="F271" i="2" s="1"/>
  <c r="C271" i="2"/>
  <c r="B271" i="2"/>
  <c r="B268" i="2" s="1"/>
  <c r="E267" i="2"/>
  <c r="F267" i="2" s="1"/>
  <c r="E245" i="2" l="1"/>
  <c r="B246" i="2"/>
  <c r="G267" i="2"/>
  <c r="C268" i="2"/>
  <c r="B269" i="2"/>
  <c r="F414" i="2"/>
  <c r="B247" i="2" l="1"/>
  <c r="C246" i="2"/>
  <c r="F245" i="2"/>
  <c r="C269" i="2"/>
  <c r="F268" i="2"/>
  <c r="D268" i="2"/>
  <c r="H267" i="2"/>
  <c r="G245" i="2" l="1"/>
  <c r="C247" i="2"/>
  <c r="F246" i="2"/>
  <c r="G246" i="2" s="1"/>
  <c r="H246" i="2" s="1"/>
  <c r="D246" i="2"/>
  <c r="D269" i="2"/>
  <c r="E268" i="2"/>
  <c r="E269" i="2" s="1"/>
  <c r="F275" i="2" s="1"/>
  <c r="F277" i="2" s="1"/>
  <c r="G268" i="2"/>
  <c r="F269" i="2"/>
  <c r="E246" i="2" l="1"/>
  <c r="E247" i="2" s="1"/>
  <c r="D247" i="2"/>
  <c r="G247" i="2"/>
  <c r="H245" i="2"/>
  <c r="H247" i="2" s="1"/>
  <c r="I251" i="2" s="1"/>
  <c r="F247" i="2"/>
  <c r="H268" i="2"/>
  <c r="H269" i="2" s="1"/>
  <c r="I273" i="2" s="1"/>
  <c r="G269" i="2"/>
  <c r="C184" i="2" l="1"/>
  <c r="C181" i="2" s="1"/>
  <c r="D192" i="2"/>
  <c r="C180" i="2" s="1"/>
  <c r="D180" i="2" s="1"/>
  <c r="E180" i="2" l="1"/>
  <c r="C182" i="2"/>
  <c r="D184" i="2"/>
  <c r="E184" i="2" s="1"/>
  <c r="D181" i="2" l="1"/>
  <c r="F180" i="2"/>
  <c r="G180" i="2" s="1"/>
  <c r="H180" i="2" l="1"/>
  <c r="E181" i="2"/>
  <c r="D182" i="2"/>
  <c r="F181" i="2" l="1"/>
  <c r="E182" i="2"/>
  <c r="F182" i="2" s="1"/>
  <c r="G184" i="2" s="1"/>
  <c r="H184" i="2" s="1"/>
  <c r="I184" i="2" s="1"/>
  <c r="G181" i="2" l="1"/>
  <c r="H181" i="2" l="1"/>
  <c r="H182" i="2" s="1"/>
  <c r="I186" i="2" s="1"/>
  <c r="G182" i="2"/>
  <c r="F144" i="2" l="1"/>
  <c r="D136" i="2"/>
  <c r="D123" i="2"/>
  <c r="F108" i="2"/>
  <c r="E108" i="2"/>
  <c r="E144" i="2" s="1"/>
  <c r="D108" i="2"/>
  <c r="D144" i="2" s="1"/>
  <c r="C108" i="2"/>
  <c r="C105" i="2" s="1"/>
  <c r="D83" i="2"/>
  <c r="F76" i="2" s="1"/>
  <c r="E31" i="2"/>
  <c r="D31" i="2"/>
  <c r="D27" i="2" s="1"/>
  <c r="I28" i="2"/>
  <c r="E182" i="1"/>
  <c r="E174" i="1" s="1"/>
  <c r="G150" i="1"/>
  <c r="F120" i="1" s="1"/>
  <c r="F140" i="1"/>
  <c r="F141" i="1" s="1"/>
  <c r="G149" i="1" s="1"/>
  <c r="E120" i="1"/>
  <c r="E118" i="1"/>
  <c r="F118" i="1" s="1"/>
  <c r="D122" i="1"/>
  <c r="E122" i="1" s="1"/>
  <c r="F122" i="1" s="1"/>
  <c r="D120" i="1"/>
  <c r="D118" i="1"/>
  <c r="D29" i="2" l="1"/>
  <c r="E27" i="2"/>
  <c r="E29" i="2" s="1"/>
  <c r="D105" i="2"/>
  <c r="C141" i="2"/>
  <c r="C106" i="2"/>
  <c r="C144" i="2"/>
  <c r="C76" i="2"/>
  <c r="C73" i="2" s="1"/>
  <c r="D76" i="2"/>
  <c r="E76" i="2"/>
  <c r="F119" i="1"/>
  <c r="F123" i="1" s="1"/>
  <c r="C74" i="2" l="1"/>
  <c r="D73" i="2"/>
  <c r="C142" i="2"/>
  <c r="D141" i="2"/>
  <c r="E105" i="2"/>
  <c r="D106" i="2"/>
  <c r="F105" i="2" l="1"/>
  <c r="F106" i="2" s="1"/>
  <c r="E106" i="2"/>
  <c r="E141" i="2"/>
  <c r="D142" i="2"/>
  <c r="D74" i="2"/>
  <c r="E73" i="2"/>
  <c r="F73" i="2" l="1"/>
  <c r="F74" i="2" s="1"/>
  <c r="E74" i="2"/>
  <c r="F141" i="2"/>
  <c r="F142" i="2" s="1"/>
  <c r="E142" i="2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tc={066BA13C-B1EF-3644-926A-8746094D2EB0}</author>
  </authors>
  <commentList>
    <comment ref="L98" authorId="0" shapeId="0" xr:uid="{066BA13C-B1EF-3644-926A-8746094D2EB0}">
      <text>
        <t>[Threaded comment]
Your version of Excel allows you to read this threaded comment; however, any edits to it will get removed if the file is opened in a newer version of Excel. Learn more: https://go.microsoft.com/fwlink/?linkid=870924
Comment:
    בשנת 2009, לא הוגדר ערך שייר / גרט. לעומת זאת, ב-2010 הוגדר גרט בסך 150. לכן, יש להוסיף לתזרימי המזומנים התפעוליים מהנכס גם את שווי השייר שצפוי להתקבל כתזרים נוסף יחד עם ההכנסות נטו בשנה האחרונה.</t>
      </text>
    </comment>
  </commentList>
</comments>
</file>

<file path=xl/sharedStrings.xml><?xml version="1.0" encoding="utf-8"?>
<sst xmlns="http://schemas.openxmlformats.org/spreadsheetml/2006/main" count="2535" uniqueCount="1771">
  <si>
    <t>חשבונאות פיננסית א - מפגש מס׳ 1 - 13.3.2025: הבסיס לחשבונאות אמיתית, והתחלת למידה משמעותית של IAS 16</t>
  </si>
  <si>
    <t>המרצה:</t>
  </si>
  <si>
    <t>ד״ר צבאן</t>
  </si>
  <si>
    <t>shay.tsaban@gmail.com</t>
  </si>
  <si>
    <t>050-6551519</t>
  </si>
  <si>
    <t>מייל:</t>
  </si>
  <si>
    <t>פון - לא זמין אל תפנה:</t>
  </si>
  <si>
    <t>אינסטגרם:</t>
  </si>
  <si>
    <t>shay.tsaban</t>
  </si>
  <si>
    <t>פייסבוק:</t>
  </si>
  <si>
    <t>Shay Tsaban</t>
  </si>
  <si>
    <t>מטרת על:</t>
  </si>
  <si>
    <t>אנחנו רוצים לתקוף ולהקיף באופן יסודי ועמוק הגדרות וסוגיות חשבונאיות, כדי לעבור מסטטוס ״טכנאי שיניים״</t>
  </si>
  <si>
    <t>שיודעים ליישם מה שאמרו להם, לסטטוס ״חשבונאים וחשבונאיות״ שמבינים לעומק מה עומד מאחורי הנחיות העבודה,</t>
  </si>
  <si>
    <t>אילו גישות עבודה או חישוב נוספות מקובלות מעבר למה שנלמד, מה ההיגיון וכיצד לטפל בסיטואציות מורכבות.</t>
  </si>
  <si>
    <t>הדיון יתחיל בעולמות הרכוש הקבוע - בהתבסס על הנחיות תקן דיווח כספי בינלאומי מס׳ 16 - IAS 16</t>
  </si>
  <si>
    <t>International</t>
  </si>
  <si>
    <t>Accounting</t>
  </si>
  <si>
    <t>Standard</t>
  </si>
  <si>
    <t>אופן הלמידה:</t>
  </si>
  <si>
    <t xml:space="preserve">אתר הקורס הייעודי החיצוני לידיעון יופץ לכם אחרי ההפסקה. </t>
  </si>
  <si>
    <t>האתר יכלול את הקובץ הזה, שיתעדכן משיעור לשיעור עם כל התוכן הרלוונטי;</t>
  </si>
  <si>
    <t>סרטונים קצרים להסבר סוגיות מרכזיות;</t>
  </si>
  <si>
    <t>תרגילים נוספים ופתרונות.</t>
  </si>
  <si>
    <t>משאבים נוספים שנגדיר מעת לעת.</t>
  </si>
  <si>
    <t>כשאני מדבר על אתר הקורס - אתר ההרצאות.</t>
  </si>
  <si>
    <t xml:space="preserve">התרגולים של רו״ח אבירם אטיאס יתנהלו בנפרד, דרך המערכת הרגילה, באופן חופף לתכנים שלנו. </t>
  </si>
  <si>
    <t>נושא ראשון - רכוש קבוע - IAS 16 - Property, Plant and Equipment: לא מה שחשבת</t>
  </si>
  <si>
    <t>כאשר אנו רוצים ללמוד חשבונאות באמת - אנחנו רוצים להבין את המהות, את ההגדרות. לא רק לקבל הנחיות</t>
  </si>
  <si>
    <t xml:space="preserve">של ״מה לחלק במה״. ההנחיות הללו ניתנות במסגרת מסמכים שנקראים ״תקני חשבונאות״. </t>
  </si>
  <si>
    <t>תקני חשבונאות קיימים מ-3 סוגים עיקריים:</t>
  </si>
  <si>
    <t xml:space="preserve">א. תקני חשבונאות בינלאומיים - מסמכיהם נקראים IAS (הישנים) או IFRS (החדשים). </t>
  </si>
  <si>
    <t xml:space="preserve">ב. תקני חשבונאות אמריקאיים - נקראים FAS והמערכת כולה נקראת US GAAP. </t>
  </si>
  <si>
    <t xml:space="preserve">ג. תקני חשבונאות ישראליים - השימוש בהם הולך ופוחת אבל עדיין רלוונטיים לעסקים קטנים. </t>
  </si>
  <si>
    <t>פוקוס:</t>
  </si>
  <si>
    <t>דיון בסעיפי התקן IAS 16 והדגמות</t>
  </si>
  <si>
    <t>למקבלי החלטות בכל מה שקשור לניתוב משאבים לישות המדווח. בפשטות: אם אני שוקל להשקיע בחברה (במניותיה,</t>
  </si>
  <si>
    <t>להיות חלק מהבעלים שלה) או להלוות לה כסף (בנק), אני צריך מידע כספי. והמידע הכספי שיעזור להחלטות אלו</t>
  </si>
  <si>
    <r>
      <t xml:space="preserve">הוא המידע המיועד למשתמשים. תקצר ברו: </t>
    </r>
    <r>
      <rPr>
        <b/>
        <sz val="12"/>
        <color theme="1"/>
        <rFont val="David"/>
        <family val="2"/>
        <charset val="177"/>
      </rPr>
      <t>משתמשים = קודם כל (אבל לא רק) משקיעים.</t>
    </r>
    <r>
      <rPr>
        <sz val="12"/>
        <color theme="1"/>
        <rFont val="David"/>
        <family val="2"/>
        <charset val="177"/>
      </rPr>
      <t xml:space="preserve"> </t>
    </r>
  </si>
  <si>
    <r>
      <rPr>
        <b/>
        <sz val="12"/>
        <color theme="1"/>
        <rFont val="David"/>
        <family val="2"/>
        <charset val="177"/>
      </rPr>
      <t>משתמשים בדוחות הכספיים</t>
    </r>
    <r>
      <rPr>
        <sz val="12"/>
        <color theme="1"/>
        <rFont val="David"/>
        <family val="2"/>
        <charset val="177"/>
      </rPr>
      <t xml:space="preserve">: הדיווח הכספי שעליו מדברת החשבונאות הפיננסית מיועד בראש ובראשונה לסייע </t>
    </r>
  </si>
  <si>
    <r>
      <rPr>
        <b/>
        <sz val="12"/>
        <color theme="1"/>
        <rFont val="David"/>
        <family val="2"/>
        <charset val="177"/>
      </rPr>
      <t>הישות</t>
    </r>
    <r>
      <rPr>
        <sz val="12"/>
        <color theme="1"/>
        <rFont val="David"/>
        <family val="2"/>
        <charset val="177"/>
      </rPr>
      <t xml:space="preserve">: התאגיד - חברה, מוסד ללא כוונת רווח (עמותה וכן הלאה), שותפות. </t>
    </r>
  </si>
  <si>
    <t xml:space="preserve">לשאלה מתי יוצג פריט בדיווח. </t>
  </si>
  <si>
    <r>
      <rPr>
        <b/>
        <sz val="12"/>
        <color theme="1"/>
        <rFont val="David"/>
        <family val="2"/>
        <charset val="177"/>
      </rPr>
      <t>הכרה בנכסים:</t>
    </r>
    <r>
      <rPr>
        <sz val="12"/>
        <color theme="1"/>
        <rFont val="David"/>
        <family val="2"/>
        <charset val="177"/>
      </rPr>
      <t xml:space="preserve"> מתי מציגים פריט רכוש קבוע בדוחות? כאשר הוא נרכש? כאשר הוא מגיע אליי? הכרה היא התשובה</t>
    </r>
  </si>
  <si>
    <r>
      <rPr>
        <b/>
        <sz val="12"/>
        <color theme="1"/>
        <rFont val="David"/>
        <family val="2"/>
        <charset val="177"/>
      </rPr>
      <t>קביעת ערכם בספרים</t>
    </r>
    <r>
      <rPr>
        <sz val="12"/>
        <color theme="1"/>
        <rFont val="David"/>
        <family val="2"/>
        <charset val="177"/>
      </rPr>
      <t xml:space="preserve">: כיצד נכס הרכוש הקבוע יוצג בדיווחים. </t>
    </r>
  </si>
  <si>
    <t>הוצאות פחת הן ערך שקורה באופן טבעי ומתמשך, ואילו ירידת ערך היא אירוע נקודתי שנובע מנסיבות מיוחדות.</t>
  </si>
  <si>
    <r>
      <rPr>
        <b/>
        <sz val="12"/>
        <color rgb="FF000000"/>
        <rFont val="David"/>
        <family val="2"/>
        <charset val="177"/>
      </rPr>
      <t>והוצאות פחת והפסדים מירידת ערך:</t>
    </r>
    <r>
      <rPr>
        <sz val="12"/>
        <color rgb="FF000000"/>
        <rFont val="David"/>
        <family val="2"/>
        <charset val="177"/>
      </rPr>
      <t xml:space="preserve"> על הפסדים וההבדל בינם לבין הוצאות פחת נטפל בנפרד; בגסות רבה</t>
    </r>
  </si>
  <si>
    <r>
      <t xml:space="preserve">נדל״ן להשקעה: </t>
    </r>
    <r>
      <rPr>
        <sz val="12"/>
        <color theme="1"/>
        <rFont val="David"/>
        <family val="2"/>
        <charset val="177"/>
      </rPr>
      <t>מבנה / קרקע שילוב אשר מוחזק אך ורק לשם אחת או יותר מהמטרות הבאות:</t>
    </r>
  </si>
  <si>
    <t>א. עליית ערך הונית</t>
  </si>
  <si>
    <t>ב. השכרה</t>
  </si>
  <si>
    <t>דוגמה קטנה 1</t>
  </si>
  <si>
    <t xml:space="preserve">חברת ״קנלו״ בע״מ רכשה מבנה משרדים ב-1.1.2020 בעלות של 1,000,000 ש״ח. </t>
  </si>
  <si>
    <t>מתוך עלות המבנה, חלק של 25% מיוחס לקרקע.</t>
  </si>
  <si>
    <t xml:space="preserve">החברה עוסקת בחימום נקניק. </t>
  </si>
  <si>
    <t>מבנה המשרדים כולל 10 קומות ומשרת את החברה כדלקמן:</t>
  </si>
  <si>
    <t>מס׳ קומות</t>
  </si>
  <si>
    <t>ייעוד</t>
  </si>
  <si>
    <t>הנהלה</t>
  </si>
  <si>
    <t>אולם תצוגה ללקוחות</t>
  </si>
  <si>
    <t>מחסן</t>
  </si>
  <si>
    <t>חימום נקניק וטחינת כרבולות</t>
  </si>
  <si>
    <t>נדרש:</t>
  </si>
  <si>
    <t>א. כיצד יסווג הפריט? ספציפית - כרכוש קבוע או כנדל״ן להשקעה?</t>
  </si>
  <si>
    <t>ב. הניחו כעת כי החברה פינתה את כל קומות המבנה, והיא משכירה אותו לגורם חיצוני. כיצד יסווג הפריט?</t>
  </si>
  <si>
    <t>ג. הניחו כעת כי החברה פינתה את כל קומות המבנה והפכה אותו לבית מלון - ״נאות הנקניק״. כיצד יסווג הפריט?</t>
  </si>
  <si>
    <t>סעיף</t>
  </si>
  <si>
    <t>א</t>
  </si>
  <si>
    <t>פתרון</t>
  </si>
  <si>
    <t>רכוש קבוע, הפריט משרת את החברה עצמה (למטרות שונות) ואיננו מוחזק רק לשם מכירה ברווח בעתיד</t>
  </si>
  <si>
    <t xml:space="preserve">הרחוק ו/או להשכרה. </t>
  </si>
  <si>
    <t>ב</t>
  </si>
  <si>
    <t>לפי ההגדרה, אם פריט המבנה משרת אך ורק לשם השכרה, מדובר בנדל״ן להשקעה.</t>
  </si>
  <si>
    <t>ג</t>
  </si>
  <si>
    <t>אמנם בבית מלון מושכרים חדרים (לכאורה מזכיר נדל״ן להשקעה) אבל היקף השירותים שמסופק</t>
  </si>
  <si>
    <t>לאורחי המלון גדול בהרבה; להפעיל בית מלון זה ביזנס ממש, לא סתם השכרה. ולכן, בית מלון שבבעלותי</t>
  </si>
  <si>
    <t>ומופעל על ידי - הוא רכוש קבוע מבחינתי.</t>
  </si>
  <si>
    <t xml:space="preserve">בעוד שסוגיית הפחת הנצבר מוכרת לכולנו, סוגיית ירידת הערך - פחות מוכרת. </t>
  </si>
  <si>
    <t>דוגמה קטנה 2</t>
  </si>
  <si>
    <t>חברת ״נקניקי חן״ בע״מ רכשה ב-1.1.2020 מבנה משרדים בנהריה לשימוש הנהלת החברה. הואיל והמבנה בטבריה,</t>
  </si>
  <si>
    <t>יש להניח שעלות הקרקע זניחה.</t>
  </si>
  <si>
    <t>עלות המבנה היא 1,000,000 ש״ח. אורך החיים השימושיים של המבנה הוא 50 שנה והוא מופחת בשיטת הקו הישר.</t>
  </si>
  <si>
    <t>א. מהו ערך הספרים של המבנה ליום 31.12.2024?</t>
  </si>
  <si>
    <t xml:space="preserve">ב. הניחו כעת שערב עריכת הדוחות ליום 31.12.2026 משאית אוטונומית נכנסה בקיר המבנה והסבה לו נזק. </t>
  </si>
  <si>
    <t xml:space="preserve">נכון למועד זה שוויו ההוגן של המבנה הוא 700,000 ש״ח וזאת בהתאם להערכת שמאי המתחשבת בנזק הנ״ל. </t>
  </si>
  <si>
    <t>כמו כן, החברה מעריכה שבמצבו הנוכחי, המבנה צפוי להניב לה בתום כל שנה הכנסות תזרימיות נטו בסכום של 20,000 ש״ח.</t>
  </si>
  <si>
    <t>מחיר ההון של החברה הוא 5%.</t>
  </si>
  <si>
    <t>נדרש: מהו ערך הספרים של המבנה ל-31.12.2026?</t>
  </si>
  <si>
    <t>פתרון (א+ב):</t>
  </si>
  <si>
    <t>כאשר פריט עובר שינוי משמעותי (זעזוע) כגון ירידת ערך  / השבחות / שיפוצים / הערכה מחדש של שווי - הדרך הנעימה</t>
  </si>
  <si>
    <t xml:space="preserve">ביותר לטפל היא להציג את הערך העדכני לפני השינוי ואחריו. </t>
  </si>
  <si>
    <t xml:space="preserve">במקרה שלנו חל שינוי ב-31.12.2026 כדי לטפל בו בצורה טובה, נייצר שתי עמודות לתום שנה זו - לפני השינוי </t>
  </si>
  <si>
    <t>לפני י״ע</t>
  </si>
  <si>
    <t>אחרי י״ע</t>
  </si>
  <si>
    <t xml:space="preserve">לפני ההתחשבות בירידת ערך (י״ע), ואחריה. </t>
  </si>
  <si>
    <t>ערך</t>
  </si>
  <si>
    <t>הסכום שהוכר</t>
  </si>
  <si>
    <t>עלות</t>
  </si>
  <si>
    <t>פחת נצבר</t>
  </si>
  <si>
    <t>הפסדים מי״ע שנצברו</t>
  </si>
  <si>
    <t>בניכוי</t>
  </si>
  <si>
    <t>ערך ספרים</t>
  </si>
  <si>
    <t>הוצאות פחת</t>
  </si>
  <si>
    <t>מה לגבי האופן שבו הפריט ימדד לאחר הנזק 31.12.2026?</t>
  </si>
  <si>
    <t xml:space="preserve">השווי הנתון - הוא 700,000 ש״ח. בהיעדר נתונים סותרים, החברה יכולה למכור את הפריט בסכום זה. </t>
  </si>
  <si>
    <t>אבל, לחילופין, החברה יכולה לקחת את הפריט הזה ולהשתמש בו. על פי נתוני השאלה, אם היא תמשיך להשתמש בו</t>
  </si>
  <si>
    <t>היא תקבל:</t>
  </si>
  <si>
    <t>כל שנה</t>
  </si>
  <si>
    <t>מספר שנים</t>
  </si>
  <si>
    <t xml:space="preserve">50 - 7 = </t>
  </si>
  <si>
    <t>ריבית לשנה</t>
  </si>
  <si>
    <t>מחיר הון - נתון</t>
  </si>
  <si>
    <t>תשלומים שכוללת 20,000 ש״ח בתום כל שנה 43 שנים בריבית 5%. כדי לדעת מה השווי בחלופת השימוש, צריך להשתמש</t>
  </si>
  <si>
    <t xml:space="preserve">בכלים שנלמדו מעולם המימון - לחשב PV (ערך נוכחי) של התקבולים מהשימוש המתמשך. </t>
  </si>
  <si>
    <t>כדי לחשב ערך נוכחי של סדרה קבועה ב-Excel:</t>
  </si>
  <si>
    <t>rate</t>
  </si>
  <si>
    <t>nper</t>
  </si>
  <si>
    <t>pmt</t>
  </si>
  <si>
    <t>pv</t>
  </si>
  <si>
    <t>fv</t>
  </si>
  <si>
    <t>הריבית התקופתית / מחיר ההון</t>
  </si>
  <si>
    <t>מספר התשלומים</t>
  </si>
  <si>
    <t xml:space="preserve">סכום התשלום התקופתי </t>
  </si>
  <si>
    <t>סכום חד פעמי שמתקבל ״בסוף״ (כאן-אין)</t>
  </si>
  <si>
    <t>הערך המחולץ - השווי להיום של הסדרה</t>
  </si>
  <si>
    <r>
      <t xml:space="preserve">בעצם, אמנם החברה יכולה לקבל שווי של </t>
    </r>
    <r>
      <rPr>
        <b/>
        <sz val="12"/>
        <color rgb="FFFF0000"/>
        <rFont val="David"/>
        <family val="2"/>
        <charset val="177"/>
      </rPr>
      <t>700,000</t>
    </r>
    <r>
      <rPr>
        <sz val="12"/>
        <color theme="1"/>
        <rFont val="David"/>
        <family val="2"/>
        <charset val="177"/>
      </rPr>
      <t>; אבל היא יכולה גם להמשיך להשתמש, ואז תקבל שווי של סדרת</t>
    </r>
  </si>
  <si>
    <t>החשבונאות קובעת: כאשר מזהים סממן לירידת ערך (כמו כאן) יחושב סכום ״בר השבה״ (Recoverable Amount).</t>
  </si>
  <si>
    <t xml:space="preserve">החברה למעשה יכולה לקבל על הפריט 700,000 (לפי הערכת השווי) או 350,918 (ערך נוכחי של שימוש מתמשך). </t>
  </si>
  <si>
    <t>הואיל והבחירה היא של החברה - לגבי מה לעשות עם הנכס - הערך שייבחר כסכום בר השבה הוא הגבוה מבין השניים.</t>
  </si>
  <si>
    <t>בקצרה:</t>
  </si>
  <si>
    <t>שווי נתון</t>
  </si>
  <si>
    <t>שווי שימוש (הערך הנוכחי הנובע מהשימושים)</t>
  </si>
  <si>
    <t>הגבוה מביניהם - סכום בר השבה (סב״ה)</t>
  </si>
  <si>
    <t>הבסיס לבדיקת ירידת הערך</t>
  </si>
  <si>
    <t>לעניין ירידת הערך:</t>
  </si>
  <si>
    <t>הראינו שלפני בדיקת הנזק, ערך הספרים של הפריט היה 860,000 ש״ח.</t>
  </si>
  <si>
    <t xml:space="preserve">לאחר הנזק, הערך המירבי שניתן להניב מהפריט (סכום בר השבה): 700,000 ש״ח. </t>
  </si>
  <si>
    <t xml:space="preserve">הירידה מ-860,000 ל-700,000 היא למעשה ההפסד מירידת ערך. </t>
  </si>
  <si>
    <t>הפסד מירידת ערך</t>
  </si>
  <si>
    <t xml:space="preserve">עיליי בע״מ רכשה מחברת איתי מכונה ענקית לחימום נקניק. </t>
  </si>
  <si>
    <t xml:space="preserve">לטובת הרכישה, שילמה עיליי במזומן 50,000 ש״ח, והוסכם שתשלם בעוד שנתיים סכום נוסף של 200,000 ש״ח. </t>
  </si>
  <si>
    <t xml:space="preserve">כמו כן, החברה תמסור לטובת המכונה נקניק נוי שנמצא במשרד המנכ״ל ואשר שוויו מוערך ב-80,000 ש״ח. </t>
  </si>
  <si>
    <t xml:space="preserve">מסירת נקניק הנוי תבוצע מיד במועד הרכישה. </t>
  </si>
  <si>
    <t>עם הגעתה של מכונת חימום הנקניק לחברה, יש לנקות ממנה את שרידי הכרבולות הטחונות והפופיקים, בעלות</t>
  </si>
  <si>
    <t xml:space="preserve">של 5,000 ש״ח. </t>
  </si>
  <si>
    <t xml:space="preserve">כמו כן, יש לשלוח את עובדי החברה להשתלמות בתחום חימום הנקניק בפולין בעלות 15,000 ש״ח. </t>
  </si>
  <si>
    <t xml:space="preserve">דמי התחזוקה השנתיים של המכונה הם 8,000 ש״ח. </t>
  </si>
  <si>
    <t>מחיר ההון של החברה הוא 10% לשנה.</t>
  </si>
  <si>
    <t>נדרש: מהו הערך המוגדר בתור עלות הפריט, בהתאם לנתונים הנ״ל?</t>
  </si>
  <si>
    <t>תיאור</t>
  </si>
  <si>
    <t>ערך שנכלול</t>
  </si>
  <si>
    <t>הסבר / חישוב</t>
  </si>
  <si>
    <t>תשלום במזומן</t>
  </si>
  <si>
    <t>שווי היום (במזומן, PV) של תשלום בעתיד</t>
  </si>
  <si>
    <t>(*)</t>
  </si>
  <si>
    <t>חישוב PV של תשלום בעתיד:</t>
  </si>
  <si>
    <t>פרק הזמן בשנים עד התשלום</t>
  </si>
  <si>
    <t>מחיר ההון / הריבית לשנה</t>
  </si>
  <si>
    <t>התזרים הקבוע בסדרה</t>
  </si>
  <si>
    <t>כאן אין סדרה, אלא סכום יחיד בסוף, בתום השנתיים</t>
  </si>
  <si>
    <t>סכום חד פעמי בעתיד</t>
  </si>
  <si>
    <t>הסכום המשולם בעתיד</t>
  </si>
  <si>
    <t>ביצוע הפונקציה וחישוב</t>
  </si>
  <si>
    <t>נתון</t>
  </si>
  <si>
    <t>ראו למטה</t>
  </si>
  <si>
    <t>שווי תמורה שניתנה כנקניק נוי לפי איור</t>
  </si>
  <si>
    <t>מה לגבי עלות הניקוי?</t>
  </si>
  <si>
    <t xml:space="preserve">נשאלת השאלה, האם עלות הניקוי היא הוצאה או חלק מעלות הנכס. </t>
  </si>
  <si>
    <t xml:space="preserve">זו בהחלט דילמה. </t>
  </si>
  <si>
    <t>הפרשנות שאנו מייחסים לאירוע על פי התיאור היא שנדרש לנקות את המכונה כדי להכשיר אותה לשימוש.</t>
  </si>
  <si>
    <t xml:space="preserve">עלויות ההכשרה של הפריט לשימוש ראשוני הן בעצם חלק מעלויות ה״הקמה״ או ״היצירה״ שלו, </t>
  </si>
  <si>
    <t xml:space="preserve">ולפיכך הן חלק מעלותו. </t>
  </si>
  <si>
    <t>רוכש</t>
  </si>
  <si>
    <t>מוביל</t>
  </si>
  <si>
    <t>מתקין</t>
  </si>
  <si>
    <t>פעולות</t>
  </si>
  <si>
    <t>נוספות</t>
  </si>
  <si>
    <t>זמין</t>
  </si>
  <si>
    <t>לשימוש</t>
  </si>
  <si>
    <t xml:space="preserve">כל העלויות החיוניות עד להבאת הפריט </t>
  </si>
  <si>
    <t>למצב זמין לשימוש הן חלק מעלותו</t>
  </si>
  <si>
    <t>תחזוקה</t>
  </si>
  <si>
    <t>שוטפת</t>
  </si>
  <si>
    <t>חשמל</t>
  </si>
  <si>
    <t>הדרכות</t>
  </si>
  <si>
    <t>כל העלויות האלו אינן חלק מעלות הפריט</t>
  </si>
  <si>
    <t>אלא הוצאות</t>
  </si>
  <si>
    <t>עלות ניקוי</t>
  </si>
  <si>
    <t>והשתלמות</t>
  </si>
  <si>
    <t>חשבונאות פיננסית א - מפגש 2 - 20/3/2025 - המשך רכוש קבוע, הגדרות ודיון מקצועי</t>
  </si>
  <si>
    <t>במפגש הקודם התחלנו להתוות עקרונות ועיקרים ב-IAS 16, היום נמשיך אך נכניס רכיב תרגולי משמעותי יותר.</t>
  </si>
  <si>
    <t>הגדרה: ערך שייר</t>
  </si>
  <si>
    <t xml:space="preserve">בהתאם לתקן, כדי לחשב את הסכום ״בר הפחת״ (מה מפחיתים) יש להתבסס על העלות בניכוי ערך השייר. </t>
  </si>
  <si>
    <t>דוגמה:</t>
  </si>
  <si>
    <t xml:space="preserve">חברת ״נקניקי העיר״ רכשה מכונית מאזדה 3 ב-1.1.2020. </t>
  </si>
  <si>
    <t>החברה מחזיקה במכוניותיה 3 שנים בלבד, וזאת כמדיניות עקרונית.</t>
  </si>
  <si>
    <t>עלות המכונית 130,000 ש״ח.</t>
  </si>
  <si>
    <t xml:space="preserve">בעיקרון, מכוניות כאלו מסוגלות לתפקד ללא תקלות מהותיות במשך 10 שנים. </t>
  </si>
  <si>
    <t>בנוסף, ההערכה היא שבתום 10 השנים שווי המכונית יהיה 30,000 ש״ח.</t>
  </si>
  <si>
    <t>מכוניות מדגם זה, לפי מחירון לוי יצחק, ממודל 2017 הן בעלות שווי של 60,000 ש״ח.</t>
  </si>
  <si>
    <t xml:space="preserve">לא היו שינויים מהותיים בין מודל 2017 למודל 2020. </t>
  </si>
  <si>
    <t>חשבו והציגו את ערך הספרים של הנכס לתום כל אחת מהשנים 2020 ו-2021, ואת הוצאות הפחת לכל אחת משנים</t>
  </si>
  <si>
    <t xml:space="preserve">אלו (הנחה: ברירת המחדל בדבר חישובי הפחת אצלנו היא תמיד קו ישר, אלא אם נאמר אחרת). </t>
  </si>
  <si>
    <t>הפרשה לירידת ערך</t>
  </si>
  <si>
    <t>בשיטת הקו הישר:</t>
  </si>
  <si>
    <t>הוצאות הפחת מחושבות על ידי היחס</t>
  </si>
  <si>
    <t xml:space="preserve">שבין: </t>
  </si>
  <si>
    <t>עלות בניכוי שייר (מונה)</t>
  </si>
  <si>
    <t>תקופת הפחתה בשנים (מכנה)</t>
  </si>
  <si>
    <t>הסבר מורחב:</t>
  </si>
  <si>
    <r>
      <t xml:space="preserve">התקן IAS 16 מגדיר ערך שייר בתור השווי של הפריט </t>
    </r>
    <r>
      <rPr>
        <b/>
        <sz val="12"/>
        <color theme="1"/>
        <rFont val="David"/>
        <family val="2"/>
        <charset val="177"/>
      </rPr>
      <t xml:space="preserve">אם הוא היה </t>
    </r>
    <r>
      <rPr>
        <sz val="12"/>
        <color theme="1"/>
        <rFont val="David"/>
        <family val="2"/>
        <charset val="177"/>
      </rPr>
      <t>בגיל ובמצב שמאפיין את תום חייו השימושיים.</t>
    </r>
  </si>
  <si>
    <t xml:space="preserve">בעברית: על פי הגדרות החברה היא משתמשת במכוניות 3 שנים בלבד. </t>
  </si>
  <si>
    <t xml:space="preserve">לכן אורך החיים השימושיים של המכונית הוא 3 שנים (אין קשר לאורך החיים הכלכליים). </t>
  </si>
  <si>
    <t>ובהתאם ערך השייר חייב להקבע באופן שמהווה את האומדן לשווי מכונית לאחר 3 שנים.</t>
  </si>
  <si>
    <t>הואיל ואנחנו לא יודעים מה יהיה שווי המכונית הספציפית שרכשנו עוד 3 שנים, אנחנו מתבססים על השווי של מכונית</t>
  </si>
  <si>
    <t>שהיא בת 3 שנים היום - וזוהי מכונית ממודל 2017 ששוויה 60,000 ש״ח.</t>
  </si>
  <si>
    <t xml:space="preserve">בקצרה: ערך שייר = אומדן שווי בתום חיים שימושיים בחברה; אורך חיים שימושיים = תקופת שימוש צפויה בחברה. </t>
  </si>
  <si>
    <t>הגדרה נוספת - אורך חיים שימושיים - קוז׳פול לייף</t>
  </si>
  <si>
    <t xml:space="preserve">בעוד שאת שיטות הפחת העיקריות הקשורות למקרה (א) אנחנו מכירים (קו ישר, סכום ספרות). </t>
  </si>
  <si>
    <t>שיטת הפחת הקשורה למקרה ב - דורשת הצגה. הרעיון מאחוריה הוא לייצג דפוס הפחתה שנשען על אינטנסיביות השימוש</t>
  </si>
  <si>
    <t xml:space="preserve">בפריט - אם קורעים לו את הצורה הפחת יהיה גבוה, ואם משתמשים בו בעדינות - פחת נמוך. </t>
  </si>
  <si>
    <t>דוגמה</t>
  </si>
  <si>
    <t xml:space="preserve">עיליי רכש מכונה ענקית לטחינת כרבולות לשימוש החברה. עלות המכונה 500,000 ש״ח ומועד רכישתה 1.8.2022. </t>
  </si>
  <si>
    <t xml:space="preserve">המכונה מופחתת בשיטת יחידות התפוקה ללא ערך שייר / גרט. </t>
  </si>
  <si>
    <t>בסך הכל, בהתאם לנתוני היצרן, המכונה הנ״ל מסוגלת לטחון 250 טון כרבולות במהלך חייה. לאחר מכן, יש צורך</t>
  </si>
  <si>
    <t>להחליף מכלולים רבים שהופכים את המשך תחזוקתה ללא כלכלי בעליל.</t>
  </si>
  <si>
    <t>להלן נתונים בדבר היקף טחינת הכרבולות על ידי עיליי בשנים שונות:</t>
  </si>
  <si>
    <t>שנה</t>
  </si>
  <si>
    <t>טון כרבול טחון</t>
  </si>
  <si>
    <t xml:space="preserve">נדרש: חשבו והציגו את ערך הספרים של הנכס ואת הוצאות הפחת בתום כל אחת מהשנים. </t>
  </si>
  <si>
    <t>פחת נזבר</t>
  </si>
  <si>
    <t xml:space="preserve">הדר הציע: נתבסס על עלות הפריט (500,000) בניכוי ערך השייר (כאן - אין, לכן 0) ובמקום לחלק בשנות ההפחתה, </t>
  </si>
  <si>
    <t xml:space="preserve">מה שמקובל מאד בקו ישר על פני זמן, נחלק בקיבולת התפוקה (היקף התפוקה הכולל הצפוי לאורך חיי הפריט). </t>
  </si>
  <si>
    <t>זה אומר שאפשר, ודי בקלות, לחשב את הוצאות הפחת לטון כרבולת טחון אחד:</t>
  </si>
  <si>
    <t xml:space="preserve">(500,000 - 0) / 250 = </t>
  </si>
  <si>
    <t>פחת לטון כרבול טחון</t>
  </si>
  <si>
    <t>אם נכפול את הפחת לטון במספר הטונות שטוחנים כל שנה, נוכל להגיע להוצאות הפחת לכל שנה</t>
  </si>
  <si>
    <t>דוגמה נוספת</t>
  </si>
  <si>
    <t xml:space="preserve">מרווה רכשה מכונה ענקית למתיחת מעיים לשימוש החברה. עלות המכונה 300,000 ש״ח ומועד רכישתה 1.10.2022. </t>
  </si>
  <si>
    <t>בסך הכל, בהתאם לנתוני היצרן, המכונה הנ״ל מסוגלת למתוח 1,000 מ׳ מעיים במהלך חייה. לאחר מכן, יש צורך</t>
  </si>
  <si>
    <t>מטראז׳ מעיים מתוחים</t>
  </si>
  <si>
    <t>תזכורת קטנה:</t>
  </si>
  <si>
    <t>החברה מפחיתה את הנכס לפי יח׳ התפוקה,</t>
  </si>
  <si>
    <t>ההגדרה אומרת:</t>
  </si>
  <si>
    <t>נחשב הפחתה ליח׳ (למטר מעיים מתוח)</t>
  </si>
  <si>
    <t>נכפול במעי המתוח לשנה</t>
  </si>
  <si>
    <t>שימו לב להערה של אינאס:</t>
  </si>
  <si>
    <t>כאשר ההפחתה היא לפי יח׳ תפוקה,</t>
  </si>
  <si>
    <t>לתאריך הרכישה אין משמעות אמיתית.</t>
  </si>
  <si>
    <t>כי מה שחשוב זה כמה מייצרים שזה נתון</t>
  </si>
  <si>
    <t>נפרד, ולא הזמן.</t>
  </si>
  <si>
    <t xml:space="preserve">זו למעשה המשמעות של הפחתה לפי </t>
  </si>
  <si>
    <t>תפוקה בשונה מהפחתה לפי זמן.</t>
  </si>
  <si>
    <t xml:space="preserve">נשים לב שבשונה מהמקרה הקודם יש כאן ״עניין״: </t>
  </si>
  <si>
    <t>למרות שהפריט צפוי לשרתנו במשך 1,000 יחידות תפוקה, לאחר שעבדנו איתו עוד שנה ועוד שנה,</t>
  </si>
  <si>
    <t>גילינו שהוא הצליח להפיק למעננו:</t>
  </si>
  <si>
    <t>סה״כ</t>
  </si>
  <si>
    <t>תפוקה בפועל</t>
  </si>
  <si>
    <t>&lt;</t>
  </si>
  <si>
    <t>הערכת קיבולת לנכס</t>
  </si>
  <si>
    <t xml:space="preserve">במצב כזה, עלינו לדאוג לכך שנקטין את הוצאות הפחת בשנה שבה חלה החריגה, על מנת לא להוביל </t>
  </si>
  <si>
    <t xml:space="preserve">לנכס שלילי. </t>
  </si>
  <si>
    <t xml:space="preserve">תכל׳ס: למרות שבשנה האחרונה הפחת אמור להתבסס על 400 יח׳, אנו נחשב אותו על 300 יח׳ בלבד. </t>
  </si>
  <si>
    <t>בסיס להפחתה</t>
  </si>
  <si>
    <t>סעיף 12 לתקן - עלויות עוקבות וההתייחסות אליהן כאל חלק מהרכוש הקבוע</t>
  </si>
  <si>
    <t>בגסות רבה - לאחר שהפריט זמין לשימוש, מפסיקים לזקוף לנכס עלויות.</t>
  </si>
  <si>
    <t>בשפה פשוטה - עלות הובלה, התקנה, בדיקת תקינות וכו׳ הן חלק מהעלות הפריט.</t>
  </si>
  <si>
    <t>אבל אחזקה, טיפולים שוטפים, חשמל, דלק וכיו״ב - אינן חלק מעלות נכס הרכוש הקבוע אלא מהוות הוצאה.</t>
  </si>
  <si>
    <t>נשאלת השאלה - מה לגבי עלויות משמעותיות?</t>
  </si>
  <si>
    <t xml:space="preserve">נניח שיש לנו מבנה משרדים מאד מוזנח עם תשתיות רקובות. </t>
  </si>
  <si>
    <t xml:space="preserve">ועוד נניח שהחברה החליטה לבצע פרויקט מטורף לשיפוץ המבנה בעלות של מיליונים רבים של שקלים. </t>
  </si>
  <si>
    <t>האם מדובר באמת בהוצאה?</t>
  </si>
  <si>
    <t>או אולי מדובר בעלות שהיא בגדר שיפור בנכס המבנה?</t>
  </si>
  <si>
    <t>לכן עלינו לדון במצבים שבהם אכן מתהוות עלויות שיוצרות שינוי מהותי באורך חיי הנכס או בפוטנציאל השימוש שלו.</t>
  </si>
  <si>
    <t>מתווה הטיפול הוא כדלקמן:</t>
  </si>
  <si>
    <t xml:space="preserve">א. נחשב את ערך הספרים של הפריט ערב השינוי (ערב ההשבחה / השיפור המשמעותי). </t>
  </si>
  <si>
    <t>ב. נוסיף לערך ספרים זה את עלות ההשבחה. כך נקבל ״בסיס פחת חדש״.</t>
  </si>
  <si>
    <t>מסי קניה בסך 20,000 ש״ח, מע״מ בסך 17,000 ש״ח ועלויות התקנה בסך 12,000 ש״ח. עלויות תפעול שוטפות</t>
  </si>
  <si>
    <t xml:space="preserve">והמנוע המרכזי, וזאת בעלות של 80,000 ש״ח. כפועל יוצא, צפויה לגדול קיבולת התפוקה של המכונה, אך לא </t>
  </si>
  <si>
    <t xml:space="preserve">יחול שינוי בתקופת השימוש הצפויה בה על ידי החברה. מכונות דומות יכולות לפעול בדרך כלל 10 שנים, אך </t>
  </si>
  <si>
    <t>החברה צופה להחזיק במכונה 5 שנים בלבד. המחיר הצפוי למכונות דומות בנות 5 שנים שלא עברו השבחה הוא</t>
  </si>
  <si>
    <t>בסך 20,000 ש״ח ואילו המחיר הצפוי למכונות דומות בנות 5 שנים שעברו השבחה הוא בסך 30,000 ש״ח.</t>
  </si>
  <si>
    <t>בתאריך 31.12.2021 נמכרה המכונה תמורת 28,000 ש״ח.</t>
  </si>
  <si>
    <t>החברה מיישמת לגבי פריטי רכוש קבוע המשתייכים לקבוצת המכונות וציוד הייצור את מודל העלות, ומיישמת</t>
  </si>
  <si>
    <t xml:space="preserve">פחת בשיטת הקו הישר. </t>
  </si>
  <si>
    <t xml:space="preserve">חברה רכשה מכונת חימום נקניק בתאריך 1.1.2017. עלות המכונה 150,000 ש״ח אך בנוסף לעלותה נאלצה החברה לשלם </t>
  </si>
  <si>
    <t xml:space="preserve">נדרש: הצגת מכלול הפריטים בגין הנכס בספרים כולל השפעה על הוצאות פחת ורווח / הפסד הון. </t>
  </si>
  <si>
    <t>נתחיל מחישוב העלות במועד הרכישה:</t>
  </si>
  <si>
    <t>עלות ראשונית נתונה:</t>
  </si>
  <si>
    <t>מסי קניה (חלק מהעלות):</t>
  </si>
  <si>
    <t>התקנה (כדי להשמיש):</t>
  </si>
  <si>
    <t>מע״מ: לא רלוונטי; כי מע״מ מקבלים</t>
  </si>
  <si>
    <t>חזרה כעסק במידה ורוכשים ציוד עסקי.</t>
  </si>
  <si>
    <t>בגסות: עלויות המתקבלות חזרה אינן</t>
  </si>
  <si>
    <t xml:space="preserve">חלק מעלות הפריט הנרכש. </t>
  </si>
  <si>
    <t>סך העלות</t>
  </si>
  <si>
    <r>
      <t xml:space="preserve">של מכונת הייצור הן 5,000 ש״ח לשנה. </t>
    </r>
    <r>
      <rPr>
        <sz val="12"/>
        <color rgb="FFFF0000"/>
        <rFont val="David"/>
        <family val="2"/>
        <charset val="177"/>
      </rPr>
      <t>בתאריך 1.1.2020 בוצעה השבחה במכונה, שבמסגרתה הוחלפו כל הצירים</t>
    </r>
  </si>
  <si>
    <t>ללא השבחה</t>
  </si>
  <si>
    <t>נתון עזר</t>
  </si>
  <si>
    <t>לאחר השבחה</t>
  </si>
  <si>
    <t>ג. בסיס הפחת החדש יופחת על פני הפרמטרים הרלוונטיים להפחתה (על בסיס יתרת אורך חיים עדכנית לאחר ההשבחה), כדי לחשב הוצאות פחת לאחר ההשבחה.</t>
  </si>
  <si>
    <t>לפני מכירה</t>
  </si>
  <si>
    <t xml:space="preserve">אחרי </t>
  </si>
  <si>
    <t>מכירה</t>
  </si>
  <si>
    <t>הפסד הון</t>
  </si>
  <si>
    <t>סיכום התהליך - שאלת רכוש קבוע עם השבחה:</t>
  </si>
  <si>
    <t>כאשר מזהים בשאלת רכוש קבוע עלות משמעותית שמשפרת את הפריט או תפקודו (הגדלת כושר ייצור במכונה,</t>
  </si>
  <si>
    <t>היקף נסיעה אפשרי במכונית, שיפוץ מאסיבי במבנה משרדים) ו/או מגדילה את אורך חייו, הטיפול יבוצע כדלקמן:</t>
  </si>
  <si>
    <t>לאחר ההשבחה</t>
  </si>
  <si>
    <t>ערב ההשבחה</t>
  </si>
  <si>
    <t>לפני ההשבחה</t>
  </si>
  <si>
    <t>רגע לפני</t>
  </si>
  <si>
    <t>זמן</t>
  </si>
  <si>
    <t>מחשבים הוצאות פחת לפי:</t>
  </si>
  <si>
    <t xml:space="preserve">מחשבים הוצאות פחת </t>
  </si>
  <si>
    <t>בסיס פחת חדש (עלות חדשה בניכוי שייר חדש)</t>
  </si>
  <si>
    <t>וערך ספרים כרגיל</t>
  </si>
  <si>
    <t xml:space="preserve">ופרמטרים עדכניים להפחתה - </t>
  </si>
  <si>
    <t>בהתעלם מההשבחה</t>
  </si>
  <si>
    <t>אורך חיים, שיטת פחת</t>
  </si>
  <si>
    <t>ערך ספרים ערב ההשבחה</t>
  </si>
  <si>
    <t>הוסף: עלות השבחה</t>
  </si>
  <si>
    <t>קבלי: עלות חדשה להפחתה</t>
  </si>
  <si>
    <t>בנוסף לבדוק:</t>
  </si>
  <si>
    <t>האם חל שינוי בשייר / יתרת אורך חיים / שיטת פחת</t>
  </si>
  <si>
    <t>מעדכן פרמטרים להפחתה בהמשך</t>
  </si>
  <si>
    <t>שאלה 1.1 - תרגול נוסף להשבחות</t>
  </si>
  <si>
    <t xml:space="preserve">חברת פקיקי בע״מ (להלן: ״החברה״) רכשה ב-1.1.2018 מכונה לחימום נקניק לעובדי המשרד. </t>
  </si>
  <si>
    <t>עלות המכונה הסתכמה ב-150,000 ש״ח, ואורך חייה השימושיים נאמד על ידי החברה ב-5 שנים.</t>
  </si>
  <si>
    <t xml:space="preserve">למכונה אין ערך שייר / גרט, והחברה מפחיתה מכונות כאלו בשיטת הקו הישר על פני אורך חייהן השימושיים. </t>
  </si>
  <si>
    <t>בתאריך 30.6.2020, ביצעה החברה החלפה של סלילי חימום הנקניק בעלות של 70,000 ש״ח.</t>
  </si>
  <si>
    <t>כפועל יוצא, אורך החיים של הפריט גדל ב-3.5 שנים, צפוי לו ערך שייר של פריט עם סלילי נקניק מחוזקים: 20,000 ש״ח,</t>
  </si>
  <si>
    <t>ב-30.9.2022 נמכרה המכונה למר נקניקון בתמורה ל-44,000 ש״ח.</t>
  </si>
  <si>
    <t xml:space="preserve">נדרש: חשבו והציגו את כל היתרות המאזניות והתוצאתיות בגין הפריט לשנות החזקתו. 2018-2022. </t>
  </si>
  <si>
    <t>ערב המכירה</t>
  </si>
  <si>
    <t>שאלה 1.2 - תרגול נוסף להשבחות - סכום ספרות השנים</t>
  </si>
  <si>
    <t xml:space="preserve">חברת פקיקי המסובכת בע״מ (להלן: ״החברה״) רכשה ב-1.1.2018 מכונה לחימום נקניק לעובדי המשרד. </t>
  </si>
  <si>
    <r>
      <t xml:space="preserve">למכונה אין ערך שייר / גרט, והחברה מפחיתה מכונות כאלו בשיטת </t>
    </r>
    <r>
      <rPr>
        <b/>
        <sz val="12"/>
        <color theme="1"/>
        <rFont val="David"/>
        <family val="2"/>
        <charset val="177"/>
      </rPr>
      <t>סכום ספרות השנים על פני אורך חייהן השימושיים</t>
    </r>
    <r>
      <rPr>
        <sz val="12"/>
        <color theme="1"/>
        <rFont val="David"/>
        <family val="2"/>
        <charset val="177"/>
      </rPr>
      <t xml:space="preserve">. </t>
    </r>
  </si>
  <si>
    <t xml:space="preserve">הדרכה בסיסית: כאשר חברה מפחיתה פריט בשיטת סכום ספרות השנים (סס״י), כאשר מבוצעת השבחה, </t>
  </si>
  <si>
    <t xml:space="preserve">פרט לחישוב עלות חדשה להפחתה - יש גם לחשב סכום ספרות חדש, ולהקצות ספרות מחדש. </t>
  </si>
  <si>
    <t>לפני השבחה</t>
  </si>
  <si>
    <t>אחרי השבחה</t>
  </si>
  <si>
    <t>לפני המכירה</t>
  </si>
  <si>
    <t>עלות מופחתת</t>
  </si>
  <si>
    <t>במועד ההשבחה 30/6/2020, יש לזהות:</t>
  </si>
  <si>
    <t>עלות חדשה להפחתה</t>
  </si>
  <si>
    <t>ערך שייר חדש</t>
  </si>
  <si>
    <t>בסיס פחת חדש</t>
  </si>
  <si>
    <t>יתרת חיים עדכנית בשנים:</t>
  </si>
  <si>
    <t>אורך חיים מקורי בשנים</t>
  </si>
  <si>
    <t>בניכוי שנים שחלפו:</t>
  </si>
  <si>
    <t>כל 2018, כל 2019, ומחצית משנת 2020</t>
  </si>
  <si>
    <t>גידול באורך החיים - השבחה</t>
  </si>
  <si>
    <t>נתון, שורה 121</t>
  </si>
  <si>
    <t>יתרת חיים עדכנית:</t>
  </si>
  <si>
    <t>שיטת הפחתה עדכנית:</t>
  </si>
  <si>
    <t>סס״י - סכום ספרות יורד</t>
  </si>
  <si>
    <t>הואיל וסס״י: נחשב סכום ספרות:</t>
  </si>
  <si>
    <t>n * (n + 1) / 2 = 6 * (6 + 1) / 2 = 21</t>
  </si>
  <si>
    <t>ספרה: 4</t>
  </si>
  <si>
    <t>ספרה: 5</t>
  </si>
  <si>
    <t>ספרה: 6</t>
  </si>
  <si>
    <t>95,000 * (6*6/12) / 21</t>
  </si>
  <si>
    <t>95,000 * (4*3/12) / 21</t>
  </si>
  <si>
    <t>95,000 * (5*6/12) / 21</t>
  </si>
  <si>
    <t>=</t>
  </si>
  <si>
    <t>מחצית שניה</t>
  </si>
  <si>
    <t>סך הוצ׳ פחת 2022</t>
  </si>
  <si>
    <t>סך הוצ׳ פחת 2021</t>
  </si>
  <si>
    <t>שאלה רצינית - של רואי חשבון סוסים!</t>
  </si>
  <si>
    <t>עלויות ראשוניות ונחיצותן - פריטים נלווים והשפעות רגולציה</t>
  </si>
  <si>
    <t>IAS 10 - 11 - Initial costs</t>
  </si>
  <si>
    <t>Items of property, plant and equipment may be acquired for safety or environmental reasons. The</t>
  </si>
  <si>
    <t xml:space="preserve">acquisition of such property, plant and equipment, although not directly increasing the future </t>
  </si>
  <si>
    <t xml:space="preserve">economic benefits of any particular existing iterm of property, plant and equipment, may be </t>
  </si>
  <si>
    <t>necessary for an entity to obtain the future economic benefits from its other assets.</t>
  </si>
  <si>
    <t>Such items of property, plant and equipment qualify for recognition as assets because they enable</t>
  </si>
  <si>
    <t>an entity to obtain the future benefits from its other assets. Such iterms of property…. Qualify for</t>
  </si>
  <si>
    <t xml:space="preserve">recognition as assets because they enable an entity to derive future economic benefits from related </t>
  </si>
  <si>
    <t>assets in excess of what could be derived had those items not been acquired.</t>
  </si>
  <si>
    <t>For example, a chemical manufacturer may install new chemical handling processes to comply</t>
  </si>
  <si>
    <t>with environmental requirements for the production and storage of dangerous chemicals;</t>
  </si>
  <si>
    <t>related plant enhancements are recognised as an asset because without them the entity is unable</t>
  </si>
  <si>
    <t xml:space="preserve">to manufacture and sell chemicals. However, the resulting carrying amount of such and asset </t>
  </si>
  <si>
    <t>and related assets is reviewed for impairment in accordance with IAS 36 impairment of assets.</t>
  </si>
  <si>
    <t>עיקרי המשמעות</t>
  </si>
  <si>
    <t xml:space="preserve">הרעיון הבסיסי בפסקה זו פשוט למדי: כשאנו דנים בעלויות הכרחיות שנזקפות כנכס רכוש קבוע, אנו מתייחסים </t>
  </si>
  <si>
    <t>לא רק לעלויות נדרשות בפן התפעולי (כדי שפיזית, הפריט יוכל לייצר) אלא גם לעלויות הנובעות מדרישות חוק ותקנות-</t>
  </si>
  <si>
    <t>כדוגמת מפעל הכימיקלים שצריך להוסיף רכיב לפס הייצור שנדרש לפי הנחיות החוק לאחסון בטיחותי של החומרים.</t>
  </si>
  <si>
    <t>שאלה 2</t>
  </si>
  <si>
    <t>חברה רכשה מכונה לייצור כימיקלים בתאריך 1.1.2020. עלות המכונה 100,000 ש״ח, אורך החיים השימושיים</t>
  </si>
  <si>
    <t xml:space="preserve">שלה הנו 5 שנים והיא מופחתת בשיטת הקו הישר, כאשר ערך השייר המוערך שלה הוא אפס. החברה מיישמת </t>
  </si>
  <si>
    <t>לגבי מכונות הייצור שברשותה את בסיס המדידה ״עלות״ לפי הנחיות IAS 16. המכונה לייצור הכימיקלים</t>
  </si>
  <si>
    <t>עובדת בצורה מושלמת ומייצרת מוצרים נאותים בצורה טובה במצב הנוכחי, אך חקיקה שהועברה על ידי המשרד</t>
  </si>
  <si>
    <t>לאיכות הסביבה מחייבת את החברה להתקין מסנן חלקיקים במכונה למזעור זיהום האוויר בתהליך הייצור.</t>
  </si>
  <si>
    <t xml:space="preserve">מסנן החלקיקים הותקן רק ב-1.7.2020. הייצור החל מיד ב-1.1.2020. </t>
  </si>
  <si>
    <t>נדרש: האם יש להכיר בעלות מסנן החלקיקים כתוספת לעלות פריט הרכוש הקבוע? מדוע?</t>
  </si>
  <si>
    <t>אכן, לפי הנחיות IAS 16, התקנת רכיבים בעלי עלות משמעותית, הנדרשים מכוח החוק, ולפיכך, מהווים</t>
  </si>
  <si>
    <t>רכיב מחייב מנקודת ראות החברה להמשך ייצור בצורה ״חוקית״, נזקפים לעלות הפריט ולא להוצאות,</t>
  </si>
  <si>
    <t>הואיל ורכיבים כאלו מאפשרים המשך הנבת הטבות לאורך זמן, ללא חשיפה לעונשים כבדים.</t>
  </si>
  <si>
    <t>עלויות עוקבות</t>
  </si>
  <si>
    <t>IAS 16 - 12 - Subsequent Costs</t>
  </si>
  <si>
    <t>Under the recognition principle (p. 7), an entity does not recognise in the carrying amount of an item</t>
  </si>
  <si>
    <t>of property… the costs of the day to day servicing of the item. Rather, these costs are recognised</t>
  </si>
  <si>
    <t xml:space="preserve">in profit or loss as incurred. Costs of day to day servicing are primarily the costs of labour and </t>
  </si>
  <si>
    <t>consumables, and may include the costs of small parts. The purpose of these expenditures is</t>
  </si>
  <si>
    <t>often described as for the 'repairs and mainteance' of the item of property…</t>
  </si>
  <si>
    <t>בעלות פריט רכוש קבוע לא נכלול עלויות שהתהוו לאחר המועד שבו הנכס זמין לשימוש, אם מדובר בעלויות הקשורות</t>
  </si>
  <si>
    <t>לאחזקה / שימוש שוטף / שמירה על הקיים. לעומת זאת, כן ניתן (כפי שראינו) לכלול בעלות פריט הרכוש הקבוע</t>
  </si>
  <si>
    <t>תוספות שמגדילות את ההטבות מהפריט לאורך זמן (כגון השבחה, תוספת רכיבים שמשפרים ייצור וכיוצא בזה).</t>
  </si>
  <si>
    <t>שאלה 3</t>
  </si>
  <si>
    <t>מהו ההיגיון הבסיסי בכך שלפי IAS 16, לא זוקפים עלויות אחזקה וטיפול שוטף בפריטי רכוש קבוע כחלק מהעלות?</t>
  </si>
  <si>
    <t>האם לא ניתן לטעון שאם אנו רוכשים מכונית, למשל, העלות שלה מן הסתם כוללת גם את עלות השימוש השנתית</t>
  </si>
  <si>
    <t xml:space="preserve">בה? הסבירו והגדירו על בסיס המונחים החשבונאיים המתאימים שבבסיס מטרות הדיווח. </t>
  </si>
  <si>
    <t>התשובה:</t>
  </si>
  <si>
    <t>הבסיס העיקרי והמרכזי לדיון בנכסים וההכרה בהם, גלום בהבנה שמדובר בפריטים שבעקבותיהם צפויה לזרום</t>
  </si>
  <si>
    <t xml:space="preserve">בעתיד הטבה כלכלית לישות. </t>
  </si>
  <si>
    <t>כאשר חברה משלמת למשל על דלק למכונית או על אחזקה, כי המכונית נסעה כבר 20,000 קילומטרים והגיע</t>
  </si>
  <si>
    <t>הזמן לטיפול. ההתייחסות במצב כזה לעלויות היא כאל ערכים שכבר ״נצרכו״ וההטבה בגינם כבר נתגבשה.</t>
  </si>
  <si>
    <t>לעומת זאת, אירוע של השבחה, של החלפת רכיב משמעותי בפריט, או שינוי אחר מהותי לטובה בו - מייצר אופק</t>
  </si>
  <si>
    <t xml:space="preserve">עתידי של הטבות כלכליות נוספות, מה שמקנה, ברמה הבסיסית ביותר, עמידה בהגדרת נכס. </t>
  </si>
  <si>
    <t>ובקצרה: עלות רכוש קבוע היא נכס, מתוקף ההבנה שתיווצר ממנו הטבה כלכלית לאורך זמן.</t>
  </si>
  <si>
    <t>אחזקה, דלק, חשמל וכיו״ב - אינן עלויות שמשנות את תקופת ההטבה / השימושים, ולכן אינן חלק מהעלות.</t>
  </si>
  <si>
    <t>IAS 16 - 13 - Subsequent Costs</t>
  </si>
  <si>
    <t>Parts of some items of property, plant and equipment may require replacement at regular intervals.</t>
  </si>
  <si>
    <t>For example, a furnace may require rlining after a specific number of hours of use, or aircraft</t>
  </si>
  <si>
    <t>interiors such as seats and galleys may require replacement several times during the life of the</t>
  </si>
  <si>
    <t>airframe. Items of property… may also be acquired to make a less frequently recurring replacement,</t>
  </si>
  <si>
    <t>such as replacing the interior walls of a building, or to me a nonrecurring replacement.</t>
  </si>
  <si>
    <t>Under the recognition principles (p.7), an entity recognises in the carrying amount of an item of</t>
  </si>
  <si>
    <t xml:space="preserve">property, plant and equipent, the cost of replacing part of such an item when that cost is incurred if </t>
  </si>
  <si>
    <t>the recognition criteria are met. The carring amount of those parts that are replaced is derecognised</t>
  </si>
  <si>
    <t xml:space="preserve">in accordance with the derecognition of provisions of this standard. </t>
  </si>
  <si>
    <t>נניח שאורך חיים של מטוס הוא 20 שנים. ועוד נניח, שאת חלקי הפנים של המטוס (כסאות וכיו״ב) מצופה להחליף</t>
  </si>
  <si>
    <t>בחלוף 10 שנים. כאשר מגיע מועד ההחלפה של החלקים הפנימיים במטוס, עלינו:</t>
  </si>
  <si>
    <t xml:space="preserve">א. ״לגרוע״ (disposal) כלומר לאפס את ערך הספרים (העלות המופחתת) של הרכיב הספציפי המוחלף. </t>
  </si>
  <si>
    <t xml:space="preserve">ב. ערך הספרים של הפריט המוחלף נזקף כהוצאה. </t>
  </si>
  <si>
    <t>ג. יש להכיר בעלות ההחלפה (הכסאות החדשים, חלקי הפנים החדשים והתקנתם) כתוספת לעלות הנכס.</t>
  </si>
  <si>
    <t>שאלה 4</t>
  </si>
  <si>
    <t>כיצד הטיפול בהחלפת רכיבים עיקריים של פריט רכוש קבוע עקביים עם מטרות המדידה וההצגה של רכוש קבוע?</t>
  </si>
  <si>
    <t>הסבירו בקצרה.</t>
  </si>
  <si>
    <t>נניח שברשותי מכונית שעלתה 100,000 ש״ח ומתוך עלות כוללת זו, כ-20,000 זה השווי של המנוע.</t>
  </si>
  <si>
    <t xml:space="preserve">ונניח שהמכונית מופחתת על פני 10 שנים ללא שייר / גרט. </t>
  </si>
  <si>
    <t>נניח שאחרי 7 שנים צריך להחליף את המנוע בעלות של 18,000 ש״ח:</t>
  </si>
  <si>
    <t>מנוע:</t>
  </si>
  <si>
    <t>פחת נצבר ערב ההחלפה</t>
  </si>
  <si>
    <t xml:space="preserve">20,000 / 10 * 7 = </t>
  </si>
  <si>
    <t>ערך ספרים של המוחלף</t>
  </si>
  <si>
    <t xml:space="preserve">גריעת ערך הספרים </t>
  </si>
  <si>
    <t>ז׳ מכונית (רכיב מנוע - עלות)</t>
  </si>
  <si>
    <t>של המוחלף (א)</t>
  </si>
  <si>
    <t>ח׳ פחת נצבר מכונית (רכיב מנוע)</t>
  </si>
  <si>
    <t>זקיפת ע. ספרים כהוצאה (ב)</t>
  </si>
  <si>
    <t>ח׳ הוצאה (הפסד מהחלפת מנוע)</t>
  </si>
  <si>
    <t>ג. יש להכיר בעלות ההחלפה (הרכיב המחליף) כתוספת לעלות הנכס.</t>
  </si>
  <si>
    <t>ח׳ מכונית - עלות (מנוע חדש)</t>
  </si>
  <si>
    <t>ז׳ מזומן</t>
  </si>
  <si>
    <t>מדידה במועד ההכרה</t>
  </si>
  <si>
    <t>Measurement at recognition - IAS 16, p.15-17</t>
  </si>
  <si>
    <t>An item of property, plant and equipment that qualifies for recognition as an asset shall be measured</t>
  </si>
  <si>
    <t>at its cost.</t>
  </si>
  <si>
    <t>The cost of an item of property, plant and equipment comprises:</t>
  </si>
  <si>
    <t>(a) its purchase price, including import duties and non-refundable purchase taxes, after deducting</t>
  </si>
  <si>
    <t>trade discounts and rebates.</t>
  </si>
  <si>
    <t>(b) any costs directly attributable to bringing the asset to the location and condition necessary for</t>
  </si>
  <si>
    <t>it to be capable of operating in the manner intended by management.</t>
  </si>
  <si>
    <t>(c) the initial estimate of the costs of dismantling and removing the item and restoring the site</t>
  </si>
  <si>
    <t>on which it is located, the obligation for which and entity incurs either when the item is acquired or</t>
  </si>
  <si>
    <t xml:space="preserve">as a consequence of having used the item during a particular period for purposes other than to </t>
  </si>
  <si>
    <t>produce inventories during that period.</t>
  </si>
  <si>
    <t>Examples:</t>
  </si>
  <si>
    <t xml:space="preserve">(a) costs of employee benefits (as defined in IAS 19) arising directly from the construction or </t>
  </si>
  <si>
    <t>acquisition of the item of property, plant and equipment;</t>
  </si>
  <si>
    <t>(b) costs of site preperation.</t>
  </si>
  <si>
    <t>(c) initial delivery and handling costs.</t>
  </si>
  <si>
    <t>(d) installation and assembly costs.</t>
  </si>
  <si>
    <t>(e) costs of testing whether the asset is functioning properly.</t>
  </si>
  <si>
    <t xml:space="preserve">(f) proffessional fees. </t>
  </si>
  <si>
    <t>העלות של פריט רכוש קבוע כוללת את עלות רכישתו, כולל מסי יבוא ומסים אחרים שאינם ניתנים לסילוק או לקבלת החזר</t>
  </si>
  <si>
    <t>בגינם, לאחר ניכוי וקיזוז של הנחות וזיכויים (בהקשר למסים שמקבלים חזרה, ראו להלן התייחסות לסוגיית המע״מ).</t>
  </si>
  <si>
    <t>בנוסף, העלות כוללת גם את כל העלויות הנוספות הנדרשות להבאת הפריט למיקום ולמצב שמיש כפי כוונת ההנהלה.</t>
  </si>
  <si>
    <t>העלויות הנובעות מהצורך לפרק ולפנות פריט רכוש קבוע ולשחזר את האתר שבו הוא ממוקם, יהוו חלק מעלות הפריט,</t>
  </si>
  <si>
    <t>אלא אם מדובר בעלויות המשוייכות במישרין לייצור המלאי על ידי הפריט במהלך התקופה.</t>
  </si>
  <si>
    <t>שאלה 5</t>
  </si>
  <si>
    <t>ֿ</t>
  </si>
  <si>
    <t xml:space="preserve">האם מע״מ הוא חלק מעלות פריט רכוש קבוע? הסבירו. </t>
  </si>
  <si>
    <t xml:space="preserve">שלילית. חברות זכאיות לקבל חזרה את המע״מ אותו הן משלמות לצרכים עסקיים מרשות המסים (ממע״מ). יש לכך </t>
  </si>
  <si>
    <t>חריגים, אך ככלל, בהיעדר התייחסות מפורשת אחרת, מע״מ איננו חלק מהעלות.</t>
  </si>
  <si>
    <t>הרצאה מס׳ 3 - המשך רכוש קבוע - מתקרבים להשלמת מודל ה״עלות״ - בהדגש רכיבים, החלפות והשבחות</t>
  </si>
  <si>
    <t>בעברית: במקרים רבים אנו מתייחסים לרכוש קבוע כאל פריט בודד שתכל׳ס - מופחת כולו לפי השיטה המתאימה</t>
  </si>
  <si>
    <t>מספר השנים.</t>
  </si>
  <si>
    <t>אבל לעתים פריט רכוש קבוע מורכב מחלקים / רכיבים שיש להם אורך חיים שימושיים שונה מזה של הפריט כולו.</t>
  </si>
  <si>
    <t>התקן מעניק כדוגמא מטוס שהשלד שלו מחזיק מעמד שנים ארוכות, אבל את החלקים הפנימיים כגון כסאות</t>
  </si>
  <si>
    <t>יש להחליף בתדירות גבוהה יותר.</t>
  </si>
  <si>
    <t>תרגיל מס׳ 1</t>
  </si>
  <si>
    <t>קנלו בע״מ רכשה מכונה ענקית לחימום נקניק לעובדי המשרד.</t>
  </si>
  <si>
    <t>עלות המכונה הכוללת היא 2,000,000 ש״ח.</t>
  </si>
  <si>
    <t xml:space="preserve">החברה ביצעה הערכה לגבי רכיבי המכונה לצורך הפחתתה בגישת הרכיבים על פי הנחיות IAS 16. </t>
  </si>
  <si>
    <t>להלן ממצאי ההערכה:</t>
  </si>
  <si>
    <t>רכיב</t>
  </si>
  <si>
    <t>מנוע</t>
  </si>
  <si>
    <t>תמסורת</t>
  </si>
  <si>
    <t>גלילי חימום נקניק</t>
  </si>
  <si>
    <t xml:space="preserve">ש״ח </t>
  </si>
  <si>
    <t>אורך החיים השימושיים בשנים</t>
  </si>
  <si>
    <t xml:space="preserve">המכונה נרכשה והפכה לזמינה לשימוש ב-1.1.2020. </t>
  </si>
  <si>
    <t xml:space="preserve">נדרש: חשבו והציגו את הוצאות הפחת והעלות המופחתת לתום כל אחת מהשנים 2020, 2021. </t>
  </si>
  <si>
    <t>קו ישר</t>
  </si>
  <si>
    <t>פתרון:</t>
  </si>
  <si>
    <t>באופן כללי, כשפריטי רכוש קבוע כוללים מספר חלקים, יש מצב שנצטרך להחליף חלקים אלו לפני</t>
  </si>
  <si>
    <t xml:space="preserve">תום החיים השימושיים של הרכוש הקבוע כולו. </t>
  </si>
  <si>
    <t xml:space="preserve">ההחלפה תתווסף לעלות הפריט; אבל במקביל צריך לגרוע את הערך בספרים של החלק שהוחלף. </t>
  </si>
  <si>
    <t xml:space="preserve">לגרוע = לאפס / לבטל את הערך בספרים (נטו) של מה שהוחלף. </t>
  </si>
  <si>
    <t>אם אין לנו מושג מהו ערך הספרים של החלק שהוחלף, אפשר להתבסס על עלות הפריט המחליף.</t>
  </si>
  <si>
    <t>שאלה 2 - רכוש קבוע הכולל מספר חלקים, התייחסות להחלפות גריעות ושינויים</t>
  </si>
  <si>
    <t>עיליי בע״מ קנתה מכונה לחימום נקניק. עלות המכונה 500,000 ש״ח, תאריך רכישתה 1.1.2020 ואורך חייה</t>
  </si>
  <si>
    <t xml:space="preserve">השימושיים 5 שנים. המכונה מופחתת בשיטת הקו הישר. </t>
  </si>
  <si>
    <t xml:space="preserve">המכונה כוללת מנוע וסלילי חימום נקניק. </t>
  </si>
  <si>
    <t xml:space="preserve">במועד הרכישה, החברה לא ביצעה הפרדה בין הרכיבים מבחינת אופן הפחתתם. </t>
  </si>
  <si>
    <t>החלפת המנוע לא שינתה את אורך החיים הכולל של המכונה.</t>
  </si>
  <si>
    <t>נדרש: הציגו את ערך הספרים ואת הוצאות הפחת בגין השנים 2020-2024, בכפוף להנחיות IAS 16 בדבר העיסוק</t>
  </si>
  <si>
    <t xml:space="preserve">בהחלפות של רכיבי פריטי רכוש קבוע. </t>
  </si>
  <si>
    <t xml:space="preserve">בחלוף 3 שנים ממועד הרכישה - 1.1.2023, הוחלף המנוע, כאשר עלות המנוע החדש הסתכמה ב-150,000 ש״ח. </t>
  </si>
  <si>
    <t>כדי להעניק ביטוי להחלפת המנוע, עלינו:</t>
  </si>
  <si>
    <t xml:space="preserve">א. לגרוע (להוציא, להעיף, לאפס) - את הערך של המנוע הישן. </t>
  </si>
  <si>
    <t xml:space="preserve">ב. להכיר (להוסיף, להכניס) - את העלות של המנוע החדש. </t>
  </si>
  <si>
    <t>לגבי הערך של המנוע הישן - יש שתי אפשרויות:</t>
  </si>
  <si>
    <t>האפשרות הקלה - שלא כלולה בתרגיל הזה - היא: אם אמרו לי במועד הרכישה איזה חלק מהווה</t>
  </si>
  <si>
    <t>המנוע - אני בודק עליו ספציפית את ההפחתה ואת ערך הספרים.</t>
  </si>
  <si>
    <t>האפשרות המורכבת יותר - אם אין מידע ישיר לגבי החלק שמוחלף, נתבסס על הנחה לפיה העלות</t>
  </si>
  <si>
    <t>של המוחלף זהה לעלות של המחליף, ונפחית אותה בהתאם עד ערב ההחלפה.</t>
  </si>
  <si>
    <t>מנוע חדש - אומדן לעלות המנוע הישן</t>
  </si>
  <si>
    <t>פחת נצבר עד ערב ההחלפה</t>
  </si>
  <si>
    <t xml:space="preserve">150,000 / 5 * 3 = </t>
  </si>
  <si>
    <t>ערך ספרים רכיב מוחלף - אומדן</t>
  </si>
  <si>
    <t>לאחר גריעת</t>
  </si>
  <si>
    <t>הפסד בגין החלפת רכיב</t>
  </si>
  <si>
    <t>לאחר תוספת</t>
  </si>
  <si>
    <t>רכיב חדש</t>
  </si>
  <si>
    <t>שאלה 3 - לכיתה - רכוש קבוע הכולל מספר חלקים, התייחסות להחלפות גריעות ושינויים</t>
  </si>
  <si>
    <t xml:space="preserve">קלארקי בע״מ רכשה מחשב מדגם לנובו Pro Naknik Turbo בעלות של 8,000 ש״ח. </t>
  </si>
  <si>
    <t>מועד הרכישה הוא 1.1.2020, אך התמורה תשולם בפועל רק ב-1.1.2021, וזאת לאור הסדר מימון מיוחד שנערך</t>
  </si>
  <si>
    <t>מול הספק.</t>
  </si>
  <si>
    <t xml:space="preserve">בדרך כלל, מקובל בשוק לרכוש מחשבים כאלו במזומן, ומחיר של מחשב זה במזומן הוא 7,200 ש״ח. </t>
  </si>
  <si>
    <t>בהתאם להערכות החברה, המחשב כולל 2 רכיבים בלבד: דיסק קשיח וכל יתר המחשב. החברה מתייחסת לשני</t>
  </si>
  <si>
    <t xml:space="preserve">רכיבים אלו יחד לאור העובדה שהיא מאריכה שאורך החיים השימושיים שלהם זהה ועומד על 3 שנים. </t>
  </si>
  <si>
    <t xml:space="preserve">ב-1.7.2021 הוחלף הדיסק הקשיח בשל כשל מערכתי (קלארקי שפכה שקשוקה על המחשב). </t>
  </si>
  <si>
    <t xml:space="preserve">עלות הדיסק הקשיח המחליף היא 1,000 ש״ח. </t>
  </si>
  <si>
    <t xml:space="preserve">נדרש: חשבו והציגו את מכלול ההשפעות המאזניות והתוצאתיות של המחשב לשנים 2020, 2021 ו-2022.  </t>
  </si>
  <si>
    <t>התחייבות</t>
  </si>
  <si>
    <t>הוצאות מימון</t>
  </si>
  <si>
    <t>לפני החלפה</t>
  </si>
  <si>
    <t>אחרי החלפה</t>
  </si>
  <si>
    <t>הפסד מהחלפה</t>
  </si>
  <si>
    <t>כדי לחשב את ההפסד מההחלפה עלינו להגיע לעלות המופחתת (ערך הספרים) של הרכיב המוחלף.</t>
  </si>
  <si>
    <t>הואיל וערך זה לא ידוע (כי במועד הרכישה החברה לא ייחסה עלויות לרכיב), נתבסס לשם אומדן</t>
  </si>
  <si>
    <t>ערך הספרים של הפריט המוחלף על עלות הפריט המחליף (החדש) בשיקלול הפחת שחלף מאז הרכישה:</t>
  </si>
  <si>
    <t>עלות הרכיב החדש = אומדן לעלות ההיסטורית של הרכיב שהוחלף</t>
  </si>
  <si>
    <t>בניכוי פחת נצבר נאמד של הרכיב שהוחלף</t>
  </si>
  <si>
    <t xml:space="preserve">1,000 / 3 * (1 + 6/12) = </t>
  </si>
  <si>
    <t>ערך הספרים של הפריט המוחלף = הפסד בגין ההחלפה</t>
  </si>
  <si>
    <t xml:space="preserve">1,000 - 500 = </t>
  </si>
  <si>
    <t xml:space="preserve">פירוט נוסף - תנועות בחשבון הפחת הנצבר, על מנת להבהיר בצורה טובה יותר כיצד ביטאנו פחת </t>
  </si>
  <si>
    <t>נצבר ליום 31/12/2021:</t>
  </si>
  <si>
    <t>יתרת פתיחה</t>
  </si>
  <si>
    <t>יתרת סגירה</t>
  </si>
  <si>
    <t>הוצאות פחת טרם החלפה</t>
  </si>
  <si>
    <t>הוצאות פחת לאחר ההחלפה</t>
  </si>
  <si>
    <t>איפוס פחת נצבר פריט שהוחלף</t>
  </si>
  <si>
    <t xml:space="preserve">הוצאות פחת </t>
  </si>
  <si>
    <t xml:space="preserve">7,200 / 3 = </t>
  </si>
  <si>
    <t xml:space="preserve">7,200 / 3 * 6/12 = </t>
  </si>
  <si>
    <t xml:space="preserve">4,100/1.5 * (6/12) = </t>
  </si>
  <si>
    <t xml:space="preserve">4,100/1.5 = </t>
  </si>
  <si>
    <t>האם לעסקת ההחלפה יש ״מהות מסחרית״? - Commercial Substance</t>
  </si>
  <si>
    <t>כלומר, האם כתוצאה מהעסקה צפוי שינוי במאפיינים התזרימיים (תזרימי מזומנים)</t>
  </si>
  <si>
    <t>הצפויים מהנכס: שינוי סכומי מזומן, שינוי עיתוי (תזמון), שינוי בסיכון.</t>
  </si>
  <si>
    <t>אם</t>
  </si>
  <si>
    <t>לא</t>
  </si>
  <si>
    <t>כן</t>
  </si>
  <si>
    <t xml:space="preserve">קרי: </t>
  </si>
  <si>
    <t>אין מהות</t>
  </si>
  <si>
    <t>יש מהות</t>
  </si>
  <si>
    <t>מסחרית</t>
  </si>
  <si>
    <t xml:space="preserve">הנכס </t>
  </si>
  <si>
    <t>השווי</t>
  </si>
  <si>
    <t>שהתקבל</t>
  </si>
  <si>
    <t>לא יוכר</t>
  </si>
  <si>
    <t>של הנכס</t>
  </si>
  <si>
    <t>יוכר בערך</t>
  </si>
  <si>
    <t>רווח / הפסד</t>
  </si>
  <si>
    <t>או הנכסים</t>
  </si>
  <si>
    <t>אם השווי ההוגן של הנכס</t>
  </si>
  <si>
    <t>זהה לערך</t>
  </si>
  <si>
    <t xml:space="preserve">הון כי </t>
  </si>
  <si>
    <t>שנמסרו</t>
  </si>
  <si>
    <t>שהתקבל הוא מהימן יותר</t>
  </si>
  <si>
    <t>הספרים</t>
  </si>
  <si>
    <t>לא קרה</t>
  </si>
  <si>
    <t>יקבע את עלות</t>
  </si>
  <si>
    <t xml:space="preserve">נמדוד את עלות הנכס </t>
  </si>
  <si>
    <t>שינוי כלכלי</t>
  </si>
  <si>
    <t>הנכס</t>
  </si>
  <si>
    <t>שהתקבל לפי השווי שלו</t>
  </si>
  <si>
    <t>שנמסר</t>
  </si>
  <si>
    <t>כיצד נמדוד פריט רכוש קבוע ש״נרכש״ (התקבל) בעסקת החלפה? (טרייד אין)</t>
  </si>
  <si>
    <t>שאלה 4 - לכיתה - עסקת החלפה מורכבת</t>
  </si>
  <si>
    <t xml:space="preserve">חברת ״היכן התפוז״ בע״מ היא חברה מסחרית העוסקת בחימום נקניק. </t>
  </si>
  <si>
    <t>החברה מחזיקה במכונה לחימום נקניק שערכה בספרים 100,000 ש״ח.</t>
  </si>
  <si>
    <t xml:space="preserve">מסרה את המכונה הישנה והוסיפה 78,000 ש״ח במזומן. </t>
  </si>
  <si>
    <t>לפי פייסבוק מרקטפלייס, קיימת שונות רבה במחירי המכירה של מכונות משומשות לחימום נקניק, ובכפוף לכך,</t>
  </si>
  <si>
    <t>ממוצע השווי של המכונה הוא 90,000 ש״ח.</t>
  </si>
  <si>
    <t>המכונה החדשה שקנלו אוהב עולה במזומן 211,000 ש״ח.</t>
  </si>
  <si>
    <t>א. האם העסקה עומדת בהגדרות התקן לגבי ״עסקת החלפה בעלת מהות מסחרית״?</t>
  </si>
  <si>
    <t xml:space="preserve">לאחרונה, הוחלפה המכונה בעסקת טרייד אין במכונה ענקית יותר, מתקדמת יותר, כמו שקנלו אוהב, ולשם כך </t>
  </si>
  <si>
    <t>התשובה חיובית. מדובר במכונות שונות, בעלות כושר תפקוד שונה, סביר להניח שהיקף תפוקה שונה ולכן המזומנים</t>
  </si>
  <si>
    <t>שצפויים להיות מונבים מהמכונה החדשה הם בעלי מאפיינים שונים. בנוסף לכך, עצם העובדה שקנלו הוסיף מזומן</t>
  </si>
  <si>
    <t xml:space="preserve">כדי לקבל את המכונה החדשה - משמעה שינוי משמעותי במזומנים. </t>
  </si>
  <si>
    <t>ב. מהו הסכום שבו נמדוד את עלות המכונה החדשה?</t>
  </si>
  <si>
    <r>
      <t>התקן קובע כי בעסקת החלפה בעלת מהות מסחרית, נמדוד את עלות הפריט המתקבל בהתאם ל</t>
    </r>
    <r>
      <rPr>
        <b/>
        <sz val="12"/>
        <color theme="1"/>
        <rFont val="David"/>
        <family val="2"/>
        <charset val="177"/>
      </rPr>
      <t>שווי</t>
    </r>
    <r>
      <rPr>
        <sz val="12"/>
        <color theme="1"/>
        <rFont val="David"/>
        <family val="2"/>
        <charset val="177"/>
      </rPr>
      <t xml:space="preserve"> של הפריטים</t>
    </r>
  </si>
  <si>
    <t xml:space="preserve">שנמסרו, אלא אם שווי הפריט שהתקבל הוא מהימן יותר (ואז נלך לפיו). </t>
  </si>
  <si>
    <t>שווי הפריטים שנמסרו:</t>
  </si>
  <si>
    <t>מזומן</t>
  </si>
  <si>
    <t>מכונה ישנה - שווי</t>
  </si>
  <si>
    <t>שווי הפריט שהתקבל (החדש)</t>
  </si>
  <si>
    <t>מי מהערכים מהימן יותר? 168,000 או 211,000?</t>
  </si>
  <si>
    <t>התשובה: הואיל והערך של 168,000 כולל רכיב שווי מכונה ישנה</t>
  </si>
  <si>
    <t>שבנתוני השאלה נאמר ש״כפוף לתנודתיות רבה״ (יכול להשתנות, לא מהימן)</t>
  </si>
  <si>
    <t>הרי ששווי הפריט שמתקבל שעלותו במזומן ידועה עובדתית - מהימן יותר.</t>
  </si>
  <si>
    <t>ולכן, נכיר בפריט החדש בהתאם לשווי הפריט שהתקבל:</t>
  </si>
  <si>
    <t>ג. מהו הרווח / ההפסד מההחלפה?</t>
  </si>
  <si>
    <t xml:space="preserve">עסקת ההחלפה בעצם דומה מאד לעסקת מכירה; אני ״מוותר״ על משהו (פריט ישן ומזומן) ומקבל משהו (פריט חדש). </t>
  </si>
  <si>
    <t>מסרנו מזומן</t>
  </si>
  <si>
    <r>
      <t xml:space="preserve">בראייה </t>
    </r>
    <r>
      <rPr>
        <b/>
        <sz val="12"/>
        <color theme="1"/>
        <rFont val="David"/>
        <family val="2"/>
        <charset val="177"/>
      </rPr>
      <t>חשבונאית - ערכי הספרים של הנכסים שמסרנו</t>
    </r>
    <r>
      <rPr>
        <sz val="12"/>
        <color theme="1"/>
        <rFont val="David"/>
        <family val="2"/>
        <charset val="177"/>
      </rPr>
      <t>:</t>
    </r>
  </si>
  <si>
    <t>מסרנו מכונה - לפי ערך ספרים</t>
  </si>
  <si>
    <t>בסך הכל, הורדנו מהספרים (גריעה)</t>
  </si>
  <si>
    <t>התמורה שקיבלנו היא לפי ההכרה בנכס החדש:</t>
  </si>
  <si>
    <t>בניכוי ערך חשבונאי פריטים שנמסרו:</t>
  </si>
  <si>
    <t>רווח מעסקת ההחלפה</t>
  </si>
  <si>
    <t>חדש!!! הערכה מחדש!!!</t>
  </si>
  <si>
    <t>שימו לב: עד עכשיו, כל הדיון ברכוש קבוע התבסס על עלות בניכוי ערכים.</t>
  </si>
  <si>
    <t>בניכוי פחת נצבר - הכי נפוץ, ובניכוי הפרשה לירידת ערך - פחות נפוץ,</t>
  </si>
  <si>
    <t>אך קיים...</t>
  </si>
  <si>
    <t>מה לגבי מצב שבו חברה מעוניינת להתייחס במסגרת הדיווחים גם לעליית</t>
  </si>
  <si>
    <t xml:space="preserve">ערך של פריטים? חברה שקנתה מבנים למשל, שערכם רק עולה.. והיא </t>
  </si>
  <si>
    <t>מעוניינת לבטא זאת? האם יש לה דרך לעשות את זה?</t>
  </si>
  <si>
    <t xml:space="preserve">התשובה: כן. מדובר במודל הערכה מחדש - Revaluation Model. </t>
  </si>
  <si>
    <t>מדוע המודל הזה לא נפוץ במיוחד?</t>
  </si>
  <si>
    <t>הואיל וחברה לא מתכננת למכור פריטי רכוש קבוע, תכל׳ס - אם שווי</t>
  </si>
  <si>
    <t>הפריט עולה, במקרים רבים - אין לכך השפעה כלכלית ממשית על החברה.</t>
  </si>
  <si>
    <t xml:space="preserve">לאור זאת, וזה נכון במיוחד בהשפעה חיובית של הערכה מחדש שבה נתמקד היום, </t>
  </si>
  <si>
    <t>עליות ערך בסיסיות שנובעות מהערכה מחדש - אינן מהוות רווח אלא נקראות</t>
  </si>
  <si>
    <t xml:space="preserve">רווח כולל אחר. </t>
  </si>
  <si>
    <t xml:space="preserve">בחברת ״פילוס וסיתוונית״ רכשו ב-1.1.2020 מכונה ענקית לחימום נקניק, בעיצוב של ז׳רז׳ון פוניני. </t>
  </si>
  <si>
    <t>עלות המכונה 500,000 ש״ח, אורך חייה השימושיים 10 שנים, ושיטת הפחת אותה מיישמת החברה היא הקו הישר.</t>
  </si>
  <si>
    <t>בנוסף, החברה מאמצת את מודל ההערכה מחדש למדידת פריטי הרכוש הקבוע שבבעלותה, כאשר תדירות השערוך</t>
  </si>
  <si>
    <t xml:space="preserve">היא אחת לשנה וקרן ההערכה מחדש מועברת לעודפים במועד המימוש בלבד. </t>
  </si>
  <si>
    <t>להלן נתונים לגבי השווי ההוגן של המכונה בתאריכים שונים:</t>
  </si>
  <si>
    <t>תאריך</t>
  </si>
  <si>
    <t>נדרש: הציגו את מכלול ההשפעות המאזניות והתוצאתיות בגין הפריט עבור השנים המתוארות.</t>
  </si>
  <si>
    <t>לפני שערוך</t>
  </si>
  <si>
    <t>לדיווח</t>
  </si>
  <si>
    <t xml:space="preserve">לדיווח </t>
  </si>
  <si>
    <t>רווח כולל אחר</t>
  </si>
  <si>
    <t>יתרת קרן הערכה</t>
  </si>
  <si>
    <t>עלות ״ערך ברוטו״</t>
  </si>
  <si>
    <t xml:space="preserve">הרצאה 4 - המשך רכוש קבוע - מודל הערכה מחדש </t>
  </si>
  <si>
    <t>רקע:</t>
  </si>
  <si>
    <t xml:space="preserve">חברה יכולה (וזה נפוץ) למדוד את פריטי הרכוש הקבוע שבבעלותה לפי מודל שנקרא ״עלות״. </t>
  </si>
  <si>
    <t>אם היא בוחרת למדוד לפי עלות - המשמעות היא שאופן המדידה והחישוב הוא כפי שלמדנו - עלות, בניכוי פחת נצבר,</t>
  </si>
  <si>
    <t xml:space="preserve">בניכוי הפרשות לירידת ערך. </t>
  </si>
  <si>
    <t>הרציונל במדידה לפי עלות בניכוי ערכים, גם אם השווי עולה - הוא שפריט רכוש קבוע לא מתכננים למכור; ולכן גם אם</t>
  </si>
  <si>
    <t>ערכו עולה, אין לתת לכך עקרונית ביטוי מיידי במודל העלות.</t>
  </si>
  <si>
    <t>לצד זאת, התקן IAS 16 מאפשר גם למדוד פריטי רכוש קבוע לפי בסיס מדידה אלטרנטיבי, שנקרא בלטינית:</t>
  </si>
  <si>
    <t xml:space="preserve">הערכותוס מחדשוס. </t>
  </si>
  <si>
    <t>על פי בסיס מדידה זה (הערכה מחדש, בעברית) החברה רשאית לקבוע מבין כלל פריטי הרכוש הקבוע שלה קבוצות שהיא</t>
  </si>
  <si>
    <t xml:space="preserve">תמדוד לפי ״שוויין״ = כלומר, תשערך את ערכן בתדירות שתקבע. </t>
  </si>
  <si>
    <t>המשמעות היא שאם למשל בחברה יש מכונות, מחשבים, כלי רכב וגם מבנים - היא יכולה להחליט שאת המבנים היא</t>
  </si>
  <si>
    <t>תמדוד לפי הערכה מחדש (כי במבנים שינויי השווי עשויים להיות מהותיים והחברה עשויה לרצות לשקף זאת) ואת יתר</t>
  </si>
  <si>
    <t xml:space="preserve">סוגי הפריטים תמדוד לפי עלות. </t>
  </si>
  <si>
    <t xml:space="preserve">כמובן שצריכה להשמר עקביות - כך למשל, אי אפשר בתוך קבוצת המבנים למדוד חלק מהם לפי עלות וחלק לפי </t>
  </si>
  <si>
    <t xml:space="preserve">הערכה מחדש. </t>
  </si>
  <si>
    <t>יישום המודל - הערכה מחדש</t>
  </si>
  <si>
    <t>על בסיס מודל זה, הישות (החברה) צריכה להעריך עד כמה שווי הנכס תנודתי: עד כמה הוא משתנה בקיצוניות.</t>
  </si>
  <si>
    <t xml:space="preserve">אם הפריט משנה שוויו במידה רבה כל שנה - יש לבצע את השערוך (הצגה בשווי הוגן) כל שנה. </t>
  </si>
  <si>
    <t xml:space="preserve">במקרים אחרים, אפשר להעריך אותו מחדש בתדירות נמוכה יותר, למשל, כל 3 שנים או כל 5 שנים. </t>
  </si>
  <si>
    <t xml:space="preserve">בכל מועד הערכה מחדש, ערך הספרים של הנכס משוערך (מותאם) לשוויו ההוגן למועד הדיווח. </t>
  </si>
  <si>
    <t>השאלה היא, לאן נזקוף הפרשים בשווי הנכס כתוצאה מההערכה מחדש?</t>
  </si>
  <si>
    <t>כאן, התשובה מורכבת. התקן מתייחס לכך באופן הבא:</t>
  </si>
  <si>
    <t>בעצם, רגע לפני שנתרגל, נאמר: בעיקרון, עליית ערך נזקפת לקרן הערכה מחדש; אבל אם בעבר הוכר הפסד בדוח רווח</t>
  </si>
  <si>
    <t xml:space="preserve">והפסד, עליית ערך שמבטלת אותו כן תיזקף לרווח והפסד. </t>
  </si>
  <si>
    <t>בעיקרון, ירידת ערך נזקפת לרווח והפסד. אבל אם בעבר הוכרה קרן הערכה מחדש, ירידת ערך שמבטלת אותה תירשם</t>
  </si>
  <si>
    <t xml:space="preserve">כנגד קרן הערכה מחדש. </t>
  </si>
  <si>
    <t xml:space="preserve">חשוב לי לציין שיש עוד היבטים במדידה, למשל האם הקרן קבועה או מופחתת, והאם הפחת הנצבר מתאפס או לא. </t>
  </si>
  <si>
    <t>אבל כדי להמנע מהצגה של ריבוי מלל ללא תכלית, אתייחס לסוגיות הנוספות תוך כדי תנועה. בינתיים זו הסוגיה המרכזית.</t>
  </si>
  <si>
    <t>תרגיל 1</t>
  </si>
  <si>
    <t xml:space="preserve">חברת ״פצפצי העיר״ רכשה ב-1.1.2016 מכונה ענקית לחימום נקניק - לשימוש עובדי המשרד במשך שנים ארוכות. </t>
  </si>
  <si>
    <t>עלות המכונה הסתכמה ב-1,000,000 ש״ח אך פרט לעלות זו, נדרשה פצפץ לשלם דמי תיווך בסך 30,000 ש״ח וכן</t>
  </si>
  <si>
    <t xml:space="preserve">עלויות משפטיות להשלמת העסקה בסכום של 70,000 ש״ח. </t>
  </si>
  <si>
    <t xml:space="preserve">יש להניח כי רכיב השייר זניח. </t>
  </si>
  <si>
    <t>החברה מודדת פריטי רכוש קבוע המשתייכים לקבוצת המכונות והציוד לפי מודל הערכה מחדש, כאשר תדירות ההערכה</t>
  </si>
  <si>
    <t>מחדש היא כל שנה.</t>
  </si>
  <si>
    <t xml:space="preserve">החברה מעריכה את אורך החיים השימושיים של המכונה ב-50 שנים. </t>
  </si>
  <si>
    <t>את התשלום עבור דמי התיווך וכן עבור השלמת העסקה, ביצעה החברה מיד במועד הרכישה, ואילו התמורה העיקרית</t>
  </si>
  <si>
    <t xml:space="preserve">בגין מכונת הנקניק בסך 1,000,000 ש״ח תשולם בחלוף שנתיים ממועד ביצוע הרכישה, וזאת בהתאם לסיכום עם הרוכש. </t>
  </si>
  <si>
    <t xml:space="preserve">מחיר ההון הרלוונטי בחברה להיוון תזרימי המזומנים הקשורים לעסקה הוא 7% לשנה. </t>
  </si>
  <si>
    <t>החברה מאפסת את יתרת הפחת הנצבר בכל מועד הערכה מחדש. קרן ההערכה מחדש מועברת לעודפים במועד המימוש/</t>
  </si>
  <si>
    <t>להלן נתונים בדבר השווי ההוגן של המכונה לחימום נקניק במועדים שונים:</t>
  </si>
  <si>
    <t>שווי הוגן</t>
  </si>
  <si>
    <t>בתאריך 30.6.2021 נמכרה מכונת הנקניק תמורת 1,100,000 ש״ח. החברה סיכמה עם הקונה כי התמורה בעד העסקה</t>
  </si>
  <si>
    <t xml:space="preserve">תועבר אליה ב-30.6.2022. </t>
  </si>
  <si>
    <t xml:space="preserve">נדרש: </t>
  </si>
  <si>
    <t>הציגו את מכלול ההשפעות המאזניות והתוצאתיות בגין כל פריטי הרכוש הקבוע לעיל עבור כל השנים שבהם הוחזקו.</t>
  </si>
  <si>
    <t>עזר</t>
  </si>
  <si>
    <t>עלות:</t>
  </si>
  <si>
    <t>עלויות במזומן:</t>
  </si>
  <si>
    <t>דמי תיווך</t>
  </si>
  <si>
    <t>עלויות משפטיות</t>
  </si>
  <si>
    <t>עלויות נדחות - מהוונות:</t>
  </si>
  <si>
    <t>עלות רכישת המכונה - PV</t>
  </si>
  <si>
    <t>הפרשה לי״ע</t>
  </si>
  <si>
    <t>מכונה</t>
  </si>
  <si>
    <t>הפסד כולל אחר</t>
  </si>
  <si>
    <t>יתרת קרן הערכה מחדש</t>
  </si>
  <si>
    <t>דיווח</t>
  </si>
  <si>
    <t>טרם שערוך</t>
  </si>
  <si>
    <t>איפוס פחנ״צ</t>
  </si>
  <si>
    <t>לאחר שערוך</t>
  </si>
  <si>
    <t>רווח מע״ע - ברווח והפסד</t>
  </si>
  <si>
    <t>הפסד מי״ע - ברווח והפסד</t>
  </si>
  <si>
    <t xml:space="preserve">הגריעה בלבד. הניחו כי יתרת ההתחייבות לשנתיים תסולק ב-31.12.2017. </t>
  </si>
  <si>
    <t>התייחסות למכירה:</t>
  </si>
  <si>
    <t>ערך נוכחי של תמורת המכירה</t>
  </si>
  <si>
    <t>ערך הספרים ערב המכירה</t>
  </si>
  <si>
    <t xml:space="preserve">הפסד הון </t>
  </si>
  <si>
    <t>הפסד הון ממכירה</t>
  </si>
  <si>
    <t>תרגיל 2</t>
  </si>
  <si>
    <t xml:space="preserve">קנלו גייס לחברה שלו צוות של מפתחים גאונים ובראשם רז נאות. </t>
  </si>
  <si>
    <t xml:space="preserve">הם התנו את הסכמתם לעבוד בחברה בכך שהיא תצוייד במכונה ענקית לחימום נקניק. </t>
  </si>
  <si>
    <t>בהתאם, רכשה החברה ב-1.1.2015 מכונה ענקית לחימום נקניק, הכוללת שלל פיצ׳רים, כולל פונקציה מיוחדת</t>
  </si>
  <si>
    <t>המכונה הפכה לזמינה לשימוש מיד במועד רכישתה.</t>
  </si>
  <si>
    <t xml:space="preserve">המכונה צפויה לשרת את החברה במשך 20 שנה, ואין לה ערך שייר / גרט. </t>
  </si>
  <si>
    <t>שיטת הפחת אותה מיישמת החברה בהקשר לפריטים מסוג זה, היא שיטת הקו הישר.</t>
  </si>
  <si>
    <t>בנוסף, מיישמת החברה בהתאם להנחיות IAS 16 את מודל ההערכה מחדש, לגבי כל הפריטים המשתייכים לקבוצת</t>
  </si>
  <si>
    <t xml:space="preserve">המכונות וציוד הנקניק. </t>
  </si>
  <si>
    <t>תדירות ההערכה מחדש היא אחת לשנה.</t>
  </si>
  <si>
    <t>הפחת הנצבר מאופס בכל מועד הערכה מחדש.</t>
  </si>
  <si>
    <t xml:space="preserve">קרן ההערכה מחדש מועברת לעודפים במועד מימוש הנכס בלבד. </t>
  </si>
  <si>
    <t>להלן נתונים לגבי השווי ההוגן של הנכס בתאריכים שונים:</t>
  </si>
  <si>
    <t>שווי הוגן - ש״ח</t>
  </si>
  <si>
    <t xml:space="preserve">בתאריך 1.4.2021 נמכרה המכונה בתמורה ל-110,000 ש״ח. לשם השלמת עסקת המכר, נאלצה לשלם החברה </t>
  </si>
  <si>
    <t xml:space="preserve">למתווך נקניקים עלויות עסקה ישירות בסך 4,000 ש״ח. </t>
  </si>
  <si>
    <t xml:space="preserve">נדרש: הציגו את כל ההשפעות המאזניות והתוצאתיות בגין הפריט החל משנת רכישתו עד וכולל שנת 2021. </t>
  </si>
  <si>
    <t xml:space="preserve">לטחינת פופיקים ועיבוד כרבולות. עלות המכונה 100,000 ש״ח. </t>
  </si>
  <si>
    <t>לאחר המכירה</t>
  </si>
  <si>
    <t>רווח הון ממכירה</t>
  </si>
  <si>
    <t>קרן הערכה שמועברת לעודפים בקצב הפחת - בקצרה</t>
  </si>
  <si>
    <t>רקע קצר: בביצוע יישום של מודל הערכה מחדש - עד כה ההנחה היתה שקרן הערכה מחדש מועברת לעודפים</t>
  </si>
  <si>
    <t>במועד מימוש / מכירת הנכס בלבד.</t>
  </si>
  <si>
    <t xml:space="preserve">ההנחה הזו לגיטימית, מותר לחברה לפעול כך - אך היא איננה חייבת; היא יכולה, כאלטרנטיבה, להפחית </t>
  </si>
  <si>
    <t>את קרן ההערכה מחדש לעודפים בקצב הפחת.</t>
  </si>
  <si>
    <t>עלינו:</t>
  </si>
  <si>
    <t xml:space="preserve">להבין בקטנה את הרציונל (מדוע חלק מהחברות פועלות כך). </t>
  </si>
  <si>
    <t>לפתור ״מאפס״ תרגיל רלוונטי בנושא.</t>
  </si>
  <si>
    <t>המחשה:</t>
  </si>
  <si>
    <t>נניח שיגאל בע״מ היא חברה העוסקת בתחום חימום הנקניק.</t>
  </si>
  <si>
    <t>בחברה מכונות וציוד מסוגים שונים - בולטת מכונת חימום נקניק בכניסה, שהיא ייחודית</t>
  </si>
  <si>
    <t>מסוגה בעולם - ומסוגלת לחמם נקניקיות למדינה קטנה שלמה, בבת אחת.</t>
  </si>
  <si>
    <t>החברה מודעת לשווי הגבוה של המכונה והייחודיות שלה - ומיישמת את מודל ההערכה מחדש</t>
  </si>
  <si>
    <t>למדידתה. נניח שעלות המכונה 10 מ׳ ש״ח, היא נרכשה ב-1.1.2012, היא מופחתת על פני 20 שנים</t>
  </si>
  <si>
    <t>ללא גרט, ויישום השערוך הוא אחת לשנה.</t>
  </si>
  <si>
    <t xml:space="preserve">בהנחה שהשווי ההוגן של המכונה לתום 2012 הוא 14 מ׳ ש״ח, ולתום 2013 הוא 18 מ׳ ש״ח, </t>
  </si>
  <si>
    <t>מהן הוצאות הפחת בחברה בכל אחת משנים אלו?</t>
  </si>
  <si>
    <t>בשנת 2012:</t>
  </si>
  <si>
    <t xml:space="preserve">10,000,000 / 20 = </t>
  </si>
  <si>
    <t>בשנת 2013:</t>
  </si>
  <si>
    <t xml:space="preserve">14,000,000 / 19 = </t>
  </si>
  <si>
    <t>בשנת 2014:</t>
  </si>
  <si>
    <t xml:space="preserve">18,000,000 / 18 = </t>
  </si>
  <si>
    <t>במלים אחרות - השווי עולה - העלייה היא רק לקרן הון / רווח כולל אחר (לא לרווח והפסד, לא לעודפים),</t>
  </si>
  <si>
    <t xml:space="preserve">בעוד שהוצאות הפחת שכן נכנסות לרווח והפסד ולעודפים - מתנפחות. </t>
  </si>
  <si>
    <t>כדי לטפל בעיוות שנוצר כאשר החברה מקטינה עודפים כתוצאה מהוצאות הפחת בגין פריטים שערכם</t>
  </si>
  <si>
    <t xml:space="preserve">עלה, התקן מאפשר (לא דורש) להעביר חלקים מהקרן לעודפים (בקצב הפחת). </t>
  </si>
  <si>
    <t>תרגול - סוגיות הפחתת רכוש קבוע לרבות הפחתה שיטתית של קרן ההערכה מחדש לעודפים</t>
  </si>
  <si>
    <t>מטרת התרגיל:</t>
  </si>
  <si>
    <t xml:space="preserve">לסכם ברמה פרקטית חלק מסוגיות התיאוריה שסקרנו לעיל. </t>
  </si>
  <si>
    <t>להציג את המקרה המתאפשר לפי התקן לפיו קרן ההערכה מחדש מופחתת לעודפים בקצב הפחת (בשונה</t>
  </si>
  <si>
    <t>מהמקרה אותו סקרנו עד כה, המתייחס להעברת מלוא קרן ההערכה לעודפים במועד המימוש / מכירת</t>
  </si>
  <si>
    <t xml:space="preserve">הנכס בלבד). </t>
  </si>
  <si>
    <t>נסח התרגיל:</t>
  </si>
  <si>
    <t xml:space="preserve">חברה רכשה מכונה לחימום נקניק לעובדי המשרד, בתאריך 1.1.2017 (ראו תמונה). </t>
  </si>
  <si>
    <t>עלות המכונה הסתכמה ב-50,000 ש״ח, היא הגיעה לחברה והפכה לזמינה לשימוש</t>
  </si>
  <si>
    <t>מיד באותו היום.</t>
  </si>
  <si>
    <t>החברה מודדת פריטי רכוש קבוע המשוייכים לקבוצת המכונות והציוד לפי מודל</t>
  </si>
  <si>
    <t xml:space="preserve">הערכה מחדש, כאשר תדירות ההערכה מחדש היא כל שנתיים. </t>
  </si>
  <si>
    <t xml:space="preserve">אורך החיים השימושיים של מכונת הנקניק הנו 20 שנה. </t>
  </si>
  <si>
    <t xml:space="preserve">ערך השייר הנאמד לה הוא 0. </t>
  </si>
  <si>
    <t>החברה מפחיתה את קרן ההערכה מחדש לעודפים.</t>
  </si>
  <si>
    <t>החברה מאפסת את הפחת הנצבר בכל מועד שערוך.</t>
  </si>
  <si>
    <t>להלן נתונים בדבר השווי ההוגן של המכונה לחימום הנקניק בתאריכים שונים:</t>
  </si>
  <si>
    <t>שווי - ש״ח</t>
  </si>
  <si>
    <t>ככלל: היינו מצפים שבחברה שבה שינויי השווי של</t>
  </si>
  <si>
    <t>פריטי רכוש קבוע הם כה קיצוניים, שהיא תדאג לשערך</t>
  </si>
  <si>
    <t xml:space="preserve">את הפריט כל שנה (כדי שערכו יהיה קרוב לשווי, </t>
  </si>
  <si>
    <t xml:space="preserve">לפי דרישות התקן). בכל מקרה, עובדים לפי הנתונים. </t>
  </si>
  <si>
    <t>המכונה נמכרה ב-1.6.2025 בתמורה ל-33,000 ש״ח.</t>
  </si>
  <si>
    <t>אחרי שערוך</t>
  </si>
  <si>
    <t>אין שערוך</t>
  </si>
  <si>
    <t>אחרי מכירה</t>
  </si>
  <si>
    <t>עלות - ״ברוטו״</t>
  </si>
  <si>
    <t>הוצאות הפחת</t>
  </si>
  <si>
    <t>רווח מעליית ערך</t>
  </si>
  <si>
    <t>חדש!שינוי חיובי בעודפים כנגד הקרן</t>
  </si>
  <si>
    <t>תרגול לגבי הערכה מחדש - הפחתת קרן לעודפים</t>
  </si>
  <si>
    <t xml:space="preserve">שירה בע״מ רכשה מכונה לחימום נקניק לעובדי המשרד. </t>
  </si>
  <si>
    <t xml:space="preserve">עלות המכונה 500,000 ש״ח. </t>
  </si>
  <si>
    <t>המכונה נרכשה ב-1.1.2020 והיא מופחתת בשיטת הקו הישר על פני</t>
  </si>
  <si>
    <t xml:space="preserve">אורך חיים שימושיים של 10 שנים. </t>
  </si>
  <si>
    <t xml:space="preserve">החברה מבצעת שערוך כל שנה. </t>
  </si>
  <si>
    <t>הקרן מופחתת לעודפים בקצב הפחת.</t>
  </si>
  <si>
    <t>להלן נתוני שווי הוגן:</t>
  </si>
  <si>
    <t>שווי</t>
  </si>
  <si>
    <t xml:space="preserve"> השאלה מוקדשת לשירה שביקשה תרגול</t>
  </si>
  <si>
    <t>שירה הצליחה - אם לא מובן פנו אליה:</t>
  </si>
  <si>
    <t>נוסף בנושא נקניק</t>
  </si>
  <si>
    <t>052-6588311</t>
  </si>
  <si>
    <t xml:space="preserve">שירה מכרה את המכונה בתמורה ל-327,000 נקניקיות ב-1.4.2024. השווי של כל נקניקיה הוא מהימן - 1.1 ש״ח. </t>
  </si>
  <si>
    <t>עלות / ערך ברוטו</t>
  </si>
  <si>
    <t xml:space="preserve">רווח הון ממכירה </t>
  </si>
  <si>
    <t>יתרת קרן הע. מחדש</t>
  </si>
  <si>
    <t>שינוי בעודפים כנגד הקרן</t>
  </si>
  <si>
    <t xml:space="preserve">נדרש: חשבו והציגו את כל היתרות המאזניות והתוצאתיות בגין הפריט עבור שנות הדיווח 2017 - 2025. </t>
  </si>
  <si>
    <t>רכישה:</t>
  </si>
  <si>
    <t>1.1.2017</t>
  </si>
  <si>
    <t>שנות פחת:</t>
  </si>
  <si>
    <t>שערוך כל:</t>
  </si>
  <si>
    <t>שנתיים</t>
  </si>
  <si>
    <t>שווי (אש״ח): 70, 30, 80, 35</t>
  </si>
  <si>
    <t>מפגש 6 - 8/5/2025 - ירידת ערך נכסים - הקשר בין IAS 16 ו- IAS 36</t>
  </si>
  <si>
    <r>
      <t xml:space="preserve">כאשר חברה מודדת פריטי נכסים לא שוטפים במודל </t>
    </r>
    <r>
      <rPr>
        <b/>
        <sz val="12"/>
        <color theme="1"/>
        <rFont val="David"/>
        <family val="2"/>
        <charset val="177"/>
      </rPr>
      <t>הערכה מחדש</t>
    </r>
    <r>
      <rPr>
        <sz val="12"/>
        <color theme="1"/>
        <rFont val="David"/>
        <family val="2"/>
        <charset val="177"/>
      </rPr>
      <t xml:space="preserve">, הרי שהתקן קובע שכאשר חלה ירידת ערך, </t>
    </r>
  </si>
  <si>
    <t xml:space="preserve">שסכומה עולה על יתרת קרן הערכה מחדש לאותו מועד - יוכר הפסד מירידת ערך. </t>
  </si>
  <si>
    <t xml:space="preserve">הנקודה היא שגם כאשר מיושם מודל העלות, תתכן ירידת ערך. זאת משום שהחשבונאות ממש משתדלת להוביל </t>
  </si>
  <si>
    <t xml:space="preserve">למצב שבו באף מקרה לא יוצג נכס בסכום ״מנופח״ (שמרנות). בשפה פשוטה, סבבה שאני מודד במודל העלות </t>
  </si>
  <si>
    <t>את הפריט (כגון מחשב, מכונה, כלי רכב) - אבל אם הוא נדפק (תאונה, אובדן ביקוש, שינוי רגולציה שמונע ממני</t>
  </si>
  <si>
    <t xml:space="preserve">להשתמש בפריט) - לא אוכל לקחת את הראש הענק שלי, לדפוק אותו בחור בחול, ולהגיד ״לא ראיתי לא שמעתי״. </t>
  </si>
  <si>
    <t xml:space="preserve">סעיף 63 ב-IAS 16 מפנה באופן ספציפי ל-IAS 36 שהוא תקן רחב העוסק בירידת ערך נכסים. שימו לב - IAS 36 </t>
  </si>
  <si>
    <t xml:space="preserve">לא חל על רכוש קבוע בלבד, אלא גם על סוגים רבים נוספים של נכסים. אנחנו נעסוק רק בהיבט של רכוש קבוע. </t>
  </si>
  <si>
    <t>שאלת חימום</t>
  </si>
  <si>
    <t>לפניכם מספר אירועים. הסבירו מי מהם מהווה סימן המצביע על ירידת ערך נכס כהגדרתה.</t>
  </si>
  <si>
    <t xml:space="preserve">אירוע 1: החברה קנתה מכונית, עם יציאתה ממגרש היבואן, שווי השוק שלה יורד ב-5%. </t>
  </si>
  <si>
    <t>אירוע 2: החברה קנתה מכונה לחימום נקניק שמותאמת רק לצרכים הספציפיים שלה ולא ניתנת למכירה.</t>
  </si>
  <si>
    <t>אירוע 3: החברה קנתה מכונה לחימום נקניק, קלארקי אכלה בייגלה מעל המכונה, פירורים נפלו לתוכה והיא נתקעה.</t>
  </si>
  <si>
    <t xml:space="preserve">אירוע 4: החברה עוסקת בחימום נקניק ללקוחות, לאחרונה קטן משמעותית הביקוש לחימום נקניק. </t>
  </si>
  <si>
    <t>אירוע 5: החברה מייצרת נקניקים מפופיקים וכרבולות טחונות. לאחרונה בעקבות משבר עולמי עלה בצורה</t>
  </si>
  <si>
    <t xml:space="preserve">דרסטית המחיר של פופיקים וכרבולות. </t>
  </si>
  <si>
    <t>אירוע 6: חברת Apple הקימה ״חנות דגל״ בקליפורניה. בעקבות המגבלות שהטיל טראמפ על מכסים ויבוא</t>
  </si>
  <si>
    <t xml:space="preserve">מסין, קיים סיכוי גבוה מאד שהיא לא תוכל לספק סחורה. </t>
  </si>
  <si>
    <t>לא סממן</t>
  </si>
  <si>
    <t>סממן</t>
  </si>
  <si>
    <t>לרדת, זהו סממן לירידת ערך. אין זה משנה אם המידע הזה מצביע על אירוע פנימי בחברה, אירוע חיצוני, אירוע שקשור לביקושים, לעלויות</t>
  </si>
  <si>
    <t xml:space="preserve">או לכל עניין אחר - יש לבדוק את השלכתו. </t>
  </si>
  <si>
    <t>באופן כללי התפיסה היא כזו: אם אני מזהה מידע ״חדש״ שבעקבותיו ההטבות נטו (PV של התזרימים נטו) שהפריט צפוי להניב עלולות</t>
  </si>
  <si>
    <t>סבבה, גילית סממן לירידת ערך, מה השלב הבא?</t>
  </si>
  <si>
    <t>התקן (IAS 36) דורש מאיתנו לבחון שני ערכים בבואנו להעריך את ההשפעה של הסממן לירידת הערך על הנכס:</t>
  </si>
  <si>
    <t>א. ערך הספרים של הנכס (ערב גילוי הסממן)</t>
  </si>
  <si>
    <t>ב. סכום בר השבה - הגבוה מבין שני ערכים:</t>
  </si>
  <si>
    <t>ב.1. שווי הוגן בניכוי עלויות מכירה - התקבול הצפוי במכירה נטו</t>
  </si>
  <si>
    <t>ב.2. שווי שימוש נטו - PV של תזרימי המזומנים הנקיים שהנכס צפוי להניב במצבו הנוכחי</t>
  </si>
  <si>
    <t>השלב הבא הוא:</t>
  </si>
  <si>
    <t xml:space="preserve">אם הסכום בר ההשבה של הנכס נמוך מערך הספרים - </t>
  </si>
  <si>
    <t>יוכר הפסד מירידת ערך (אלא אם קיימת יתרה בקרן הון)</t>
  </si>
  <si>
    <t xml:space="preserve">אם הסכום בר ההשבה של הנכס גבוה מערך הספרים - </t>
  </si>
  <si>
    <t>לא נעשה כלום (כי לא מדברים כאן על הערכה מחדש)</t>
  </si>
  <si>
    <t>אלא אם כן הוכר הפסד בעבר.</t>
  </si>
  <si>
    <t>שאלה 19 - תרגיל בסיסי לגבי ירידת ערך נכסים</t>
  </si>
  <si>
    <t>חברת ״אביב המומחה הבכיר״ בע״מ (להלן: ״החברה״) היא חברה ציבורית העוסקת במגוון רחב של פעילויות</t>
  </si>
  <si>
    <t>עסקיות. לאחרונה רכשה החברה מכונת חימום נקניק גדולה לשם חימום נקניק ללקוחותיה.</t>
  </si>
  <si>
    <t>המכונה נרכשה ב-1.1.2019 בעלות של 100,000 ש״ח, והובלתה לחברה שבוצעה מיד באותו היום, בוצעה</t>
  </si>
  <si>
    <t>בתמורה ל-20,000 ש״ח נוספים. המכונה הפכה לזמינה לשימוש באופן מיידי, אורך חייה השימושיים בחברה</t>
  </si>
  <si>
    <t>מוערך ב-5 שנים ושיטת הפחתתה היא הקו הישר. החברה מודדת פריטי רכוש קבוע המשתייכים לקבוצות</t>
  </si>
  <si>
    <t>המכונות וציוד הייצור לפי מודל העלות. הניחו לשם פשטות כי ערך השייר (הגרט) של המכונה בתום חייה</t>
  </si>
  <si>
    <t>השימושיים הוא כמו חיי החברה והפנאי של שי.</t>
  </si>
  <si>
    <t>לקראת תום שנת 2020 החליט רואה החשבון אביב רופל לעזוב את החברה ולהתמקד בפעילות שחייה. לקוחות</t>
  </si>
  <si>
    <t>החברה המרובים ששמעו על החדשות המצערות, הביעו תרעומת גדולה באתר החברה, ומנויים רבים לשירותי</t>
  </si>
  <si>
    <t xml:space="preserve">חימום הנקניק איימו - </t>
  </si>
  <si>
    <t>לעבור למתחרים. כפועל יוצא, ערכה החברה ניתוח רגישות באמצעות משרד פרסום מוביל, והממצאים הנכונים</t>
  </si>
  <si>
    <t>ליום 31.12.2020, ולפיהם השווי ההוגן של המכונה בניכוי עלויות המכירה הנו 70,000 ש״ח, ואילו שווי השימוש</t>
  </si>
  <si>
    <t>המתמשך נטו, בערכים מהוונים, הוא 90,000 ש״ח.</t>
  </si>
  <si>
    <t>לאור שינוי מהותי זה, ביצעה החברה בדיקות נוספות של הערכים הנ״ל בשנים העוקבות, ולהלן הממצאים:</t>
  </si>
  <si>
    <t>עלויות מכירה</t>
  </si>
  <si>
    <t>שווי שימוש</t>
  </si>
  <si>
    <t>חשבו והציגו את מכלול היתרות המאזניות והתוצאתיות בגין הפריט עבור כל אחת מהשנים שלגביהן</t>
  </si>
  <si>
    <t xml:space="preserve">קיימים נתונים בשאלה. הוסיפו פקודות יומן מפורטות לכל אורכו של התהליך הרישומי-חשבונאי. </t>
  </si>
  <si>
    <t>הפסד מי״ע</t>
  </si>
  <si>
    <t>רווח מע״ע</t>
  </si>
  <si>
    <t>לפני בדיקה</t>
  </si>
  <si>
    <t>סכום בר השבה 2020 - הגבוה מבין שווי הוגן בניכוי עלויות מכירה לבין שווי</t>
  </si>
  <si>
    <t>שימוש נטו: 90,000. הואיל וערך זה גבוה מערך הספרים ערב הבדיקה,</t>
  </si>
  <si>
    <t xml:space="preserve">ואין הפסד בעבר שאפשר לבטל, לא תבוצע פעולה כלשהי. </t>
  </si>
  <si>
    <t>ב-2021: שווי הוגן בניכוי עלויות מכירה 35,000; שווי שימוש נטו 30,000, הגבוה מביניהם - 35,000 (זה סב״ה)</t>
  </si>
  <si>
    <t>ב-2022: הסכום בר ההשבה 42,000; גבוה מערך הספרים; הואיל ולמועד זה קיימת יתרת הפרשה לירידת ערך, ניתן להכיר</t>
  </si>
  <si>
    <t xml:space="preserve">בעלייה גד לגובה יתרת ההפרשה - כנגד רווח מ״ע. </t>
  </si>
  <si>
    <t>פקודות יומן</t>
  </si>
  <si>
    <t>ח</t>
  </si>
  <si>
    <t>ז</t>
  </si>
  <si>
    <t>ח׳ מכונה לחימום נקניק (עלות)</t>
  </si>
  <si>
    <t>ח׳ הוצאות פחת</t>
  </si>
  <si>
    <t xml:space="preserve">ז׳ פחנ״צ </t>
  </si>
  <si>
    <t>ח׳ הפסד מי״ע</t>
  </si>
  <si>
    <t>ז׳ הפרשה לי״ע</t>
  </si>
  <si>
    <t>ח׳ הפרשה לירידת ערך</t>
  </si>
  <si>
    <t>ח׳ הפרשה לי״ע</t>
  </si>
  <si>
    <t>ז׳ רווח מע״ע</t>
  </si>
  <si>
    <t>שאלה 20 - לשימוש עצמי של יגאל</t>
  </si>
  <si>
    <t>חברת ״יגאל ויגאלים״ בע״מ היא חברה ציבורית המדווחת לפי כללי ה - IFRS ועוסקת בחימום נקניק לעוברים והשבים.</t>
  </si>
  <si>
    <t xml:space="preserve">בתאריך 1.1.2020 רכשה החברה מכונה ענקית לחימום נקניק בעלות של 1,000,000 ש״ח. </t>
  </si>
  <si>
    <t xml:space="preserve">אורך החיים השימושיים של המכונה 10 שנים, והיא מופחתת בשיטת הקו הישר ללא ערך שייר. </t>
  </si>
  <si>
    <t>החברה מיישמת את מודל העלות כהגדרתו ב - IAS 16 למדידת פריטי הרכוש הקבוע שבבעלותה.</t>
  </si>
  <si>
    <t xml:space="preserve">בתאריך 31/12/2022 נחנק לקוח מכרבולת שנתקעה על צלעות מכונת הנקניק. החנק פורסם ברשתות החברתיות </t>
  </si>
  <si>
    <t>והחברה ספגה נזק תדמיתי כבד. להערכת המנכ״ל יגאל - קיים חשש להשפעה שלילית על הערך שתניב המכונה לחברה</t>
  </si>
  <si>
    <t>בשנים הבאות.</t>
  </si>
  <si>
    <t>בהתאם, ביצעה החברה הערכות כלכליות לגבי הערך שצפוי להתקבל משימוש במכונה (שווי שימוש נטו) וממכירתה</t>
  </si>
  <si>
    <t>ליום זה. להלן הנתונים:</t>
  </si>
  <si>
    <t>מחיר מכירה</t>
  </si>
  <si>
    <t>שווי שימוש נטו</t>
  </si>
  <si>
    <t>לאור ההשפעה המשמעותית של האירוע, החברה המשיכה ובחנה בזהירות האם קיימים סממנים שעלולים להעיד</t>
  </si>
  <si>
    <t>על ירידת ערך נוספת או עליית ערך בשנים הבאות, ולהלן הממצאים:</t>
  </si>
  <si>
    <t xml:space="preserve">בתאריך 31/12/2025 הלקוח שנחנק מהנקניק נפטר, ולפיכך עצרה התביעה ומסע ההכפשה כנגד החברה. </t>
  </si>
  <si>
    <t xml:space="preserve">נדרש: חשבו והציגו את מכלול היתרות המאזניות והתוצאתיות בגין הפריט לשנים המופיעות בשאלה. </t>
  </si>
  <si>
    <t>לפני</t>
  </si>
  <si>
    <t>אחרי</t>
  </si>
  <si>
    <t>הפרשה</t>
  </si>
  <si>
    <t>סב״ה</t>
  </si>
  <si>
    <t>חברת ״ללא מסים״ בע״מ (להלן: ״החברה״) הוקמה ביום 1.1.2007 והיא מייצרת טלפונים סלולריים.</t>
  </si>
  <si>
    <t xml:space="preserve">במועד הקמתה רכשה החברה מכונה להרכבת טלפונים סלולריים תמורת 500,000 ש״ח. המכונה מופחתת </t>
  </si>
  <si>
    <t>בשיטת הקו הישר על פני 10 שנים, וערך השייר (הגרט) שלה הוערך ב-50,000 ש״ח.</t>
  </si>
  <si>
    <t>בתחילת שנת 2009, בעקבות שינוי בסביבה התחרותית בשוק המוצרים שבו פועלת החברה, חלה ירידה</t>
  </si>
  <si>
    <t>חדה במכירות החברה. כתגובה, החברה שכרה שירותיו של יועץ כלכלי על מנת להעריך את מצבה של המכונה.</t>
  </si>
  <si>
    <t>הממצאים הנובעים מהבדיקה וערכם נכון ליום 31.12.2009 הם כדלקמן:</t>
  </si>
  <si>
    <t>אם החברה תחליט למכור את המכונה, מחיר המכירה יהיה 320,000 ש״ח ועלויות המימוש יהוו 1% ממחיר המכירה.</t>
  </si>
  <si>
    <t>אם החברה תחליט להמשיך ולהפעיל את המכונה, צפי תזרים המזומנים של החברה לשנת 2010 צפוי להיות בסכום</t>
  </si>
  <si>
    <t>נטו של 75,000 ש״ח ולאחר מכן צפוי קיטון בשיעור 3% בתזרים המזומנים השנתי, עד לסיום תקופת ההפחתה.</t>
  </si>
  <si>
    <t xml:space="preserve">בנוסף מעריך היועץ כי יתרת אורך חיי המכונה החל מ-1.1.2009 הוא 6 שנים בלבד וזאת לאור שינוי בדפוס </t>
  </si>
  <si>
    <t>בשנים 2010 ו-2011 לא חל שינוי מהותי במכירות החברה (לחיוב או לשלילה). לאור זאת מעריכה החברה כי</t>
  </si>
  <si>
    <t xml:space="preserve">התבססות על ערך הספרים שנקבע במועד שינוי הערך האחרון הוא מייצג לטובת מדידה בשנים אלו. </t>
  </si>
  <si>
    <t>בשנת 2012, החברה הצליחה ליישם תכנית התייעלות במסגרתה צמצמה את הוצאותיה באופן ניכר ולכן צפי</t>
  </si>
  <si>
    <t xml:space="preserve">תזרים המזומנים העתידי הנובע מהמכונה בהנחת המשך שימושים הוא בסך 85,000 ש״ח לשנה. </t>
  </si>
  <si>
    <t>מחיר המכירה לתום 2012 מוערך ב-106,667 ש״ח. אין שינוי באומדן שיעור עלויות המימוש.</t>
  </si>
  <si>
    <t xml:space="preserve">בשנת 2013, החליטה החברה לעבור לתחום פעילות אחר ולכן מכרה את המכונה שברשותה ב-1.7.2013 </t>
  </si>
  <si>
    <t>בתמורה ל-60,000 ש״ח, וכן שילמה לצורך הסדרת המכירה לעורך דין 1% מהמחיר המוסכם.</t>
  </si>
  <si>
    <t>ידוע כי מחיר ההון של החברה הוא 8% לשנה.</t>
  </si>
  <si>
    <t>החברה איננה כפופה למסים על ההכנסה, ותזרימי המזומנים שלה מופקים בתום כל שנה.</t>
  </si>
  <si>
    <t>רשמו פקודות יומן לגבי המכונה ממועד רכישתה עד מועד מכירתה.</t>
  </si>
  <si>
    <t xml:space="preserve">הציגו את האופן שבו תופיע המכונה נטו בדוח על המצב הכספי (מאזן) החברה בשנים 2007-2013. </t>
  </si>
  <si>
    <t>שאלה 21 - תרגיל משמעותי יותר - המשמעות של חישוב עצמאי של שווי שימוש נטו</t>
  </si>
  <si>
    <t>לפני - עזר</t>
  </si>
  <si>
    <t>שנת 2009 - קיים סממן לירידת ערך, בתום השנה, טרם הדיווח, נחשב סכום בר השבה:</t>
  </si>
  <si>
    <t>שווי הוגן (מחיר מכירה)</t>
  </si>
  <si>
    <t>בניכוי עלויות מכירה 1%</t>
  </si>
  <si>
    <t>שווי הוגן בניכוי ע. מכירה</t>
  </si>
  <si>
    <t>הגבוה מבין שווי הוגן בניכוי ע. מכירה:</t>
  </si>
  <si>
    <t>תזרים</t>
  </si>
  <si>
    <t>מס׳ שנה</t>
  </si>
  <si>
    <t>על פי נתוני השאלה, חל שינוי אומדן בהיבט יתרת החיים</t>
  </si>
  <si>
    <t>השימושיים, כך שהיא עומדת על 6 שנים החל מיום 1.1.2009</t>
  </si>
  <si>
    <t xml:space="preserve">או על 5 שנים משנת 2010 צפונה (שזה מה שאני רוצה - </t>
  </si>
  <si>
    <t xml:space="preserve">כי אני מעריך תזרים עתידי לטובת שווי שימוש נטו). </t>
  </si>
  <si>
    <t>לבין שווי שימוש נטו - המבוסס על PV תזרימים נטו:</t>
  </si>
  <si>
    <t>מחיר ההון</t>
  </si>
  <si>
    <t xml:space="preserve">rate = </t>
  </si>
  <si>
    <t xml:space="preserve">NPV = </t>
  </si>
  <si>
    <t>שווי שימוש נטו ל-31.12.2009</t>
  </si>
  <si>
    <t>סב״ה ליום 31.12.2009 הוא הגבוה מבין שווי הוגן בניכוי עלויות מכירה לשווי שימוש נטו:</t>
  </si>
  <si>
    <t xml:space="preserve">MAX(316,800 ; 283,336)  = </t>
  </si>
  <si>
    <t>השימושים במכונה, וכי ערך השייר הוא אפס (הנחה פרשנית - החברה אימצה פרשנות לפיה אורך החיים מ-31.12.09 הוא 5 שנים).</t>
  </si>
  <si>
    <t>שאלה 22 - ירידת ערך נכסים במודל העלות כאשר שווי השימוש נטו לא נתון מפורשות</t>
  </si>
  <si>
    <t xml:space="preserve">חברת ״משה בתיבה״ בע״מ רכשה ב-1.1.2009 מכונה לחימום בורקס נקניק. </t>
  </si>
  <si>
    <t xml:space="preserve">עלות המכונה 800,000 ש״ח, אורך חייה 7 שנים וערך הגרט / השייר שלה 0. </t>
  </si>
  <si>
    <t xml:space="preserve">בתאריך 1/1/2010 לאור היקף חימום הנקניק האינטנסיבי בחברה, היא מעריכה את יתרת אורך חיי מכונת הנקניק </t>
  </si>
  <si>
    <t xml:space="preserve">ב-5 שנים החל ממועד זה. </t>
  </si>
  <si>
    <t xml:space="preserve">לקראת סוף שנת 2011, גילו שאחד העובדים הקיא במכונה, וכפועל יוצא נוצרו במכונה חיידקים בלתי ניתנים לניקוי. </t>
  </si>
  <si>
    <t>אחד מהעובדים בחברה פרסם על כך פוסט, וכפועל יוצא התעורר חשש כבד בחברה באשר ליכולתה להניב הטבות</t>
  </si>
  <si>
    <t xml:space="preserve">כלכליות מחימום הנקניק בבצק עלים כאמור. </t>
  </si>
  <si>
    <t>כתוצאה מכך, החברה דאגה, במהלך כל אחת מהשנים הבאות, לבצע בדיקה כלכלית הקשורה לנאותות ההטבות</t>
  </si>
  <si>
    <t>הצפויות להיווצר מהמכונה, כדלקמן:</t>
  </si>
  <si>
    <t>לתום 2011:</t>
  </si>
  <si>
    <t>מחיר המכירה הצפוי ברוטו הוא 300,000 ש״ח, ועלויות המכירה הן 20,000 ש״ח.</t>
  </si>
  <si>
    <t>המשך שימוש במכונת הנקניק צפוי להניב לחברה סכום של 60,000 ש״ח בתום השנה הקרובה, כאשר בתום כל שנת</t>
  </si>
  <si>
    <t xml:space="preserve">חיים עוקבת, יקטן סכום זה ב-10,000 ש״ח. </t>
  </si>
  <si>
    <t>לתום 2012:</t>
  </si>
  <si>
    <t>מחיר המכירה הצפוי ברוטו הוא 440,000 ש״ח ועלויות המכירה הן 30,000 ש״ח.</t>
  </si>
  <si>
    <t xml:space="preserve">המשך השימוש במכונת הנקניק לא צפוי להניב לחברה תזרים חיובי בתום השנה הקרובה, בשנה העוקבת </t>
  </si>
  <si>
    <r>
      <t>התזרים יהיה שלילי בסך 20,000 ש״ח</t>
    </r>
    <r>
      <rPr>
        <strike/>
        <sz val="12"/>
        <color rgb="FFFF0000"/>
        <rFont val="David"/>
        <family val="2"/>
        <charset val="177"/>
      </rPr>
      <t xml:space="preserve">, ובכל שנה לאחר מכן עד לתום חיי המכונה - התזרים יהיה 70,000. </t>
    </r>
  </si>
  <si>
    <t>לתום 2013:</t>
  </si>
  <si>
    <t xml:space="preserve">החברה הצליחה להוכיח מדעית שכל שאריות הקיא נוקו מהמכונה. </t>
  </si>
  <si>
    <t>נכון לאותו היום, השווי ההוגן הוא 480,000 ש״ח, עלויות המכירה 10,000 ש״ח, והתזרימים הצפויים בתום כל שנה</t>
  </si>
  <si>
    <t xml:space="preserve">עד לתום חיי המכונה הם 200,000 ש״ח. </t>
  </si>
  <si>
    <t>מחיר ההון של החברה 8% לשנה.</t>
  </si>
  <si>
    <t>נדרש: הציגו בטבלה את מכלול ההשפעות המאזניות והתוצאתיות בגין הפריט עבור השנים 2009-2013.</t>
  </si>
  <si>
    <t>מפגש 7 - המשך י״ע נכסים</t>
  </si>
  <si>
    <t>לאחר בדיקה</t>
  </si>
  <si>
    <r>
      <t xml:space="preserve">מחיר המכירה הצפוי ברוטו הוא 300,000 ש״ח, ועלויות המכירה הן 20,000 ש״ח </t>
    </r>
    <r>
      <rPr>
        <sz val="12"/>
        <color rgb="FFFF0000"/>
        <rFont val="David"/>
        <family val="2"/>
        <charset val="177"/>
      </rPr>
      <t>[שווי הוגן בניכוי ע. מכירה - 280,000]</t>
    </r>
    <r>
      <rPr>
        <sz val="12"/>
        <color theme="1"/>
        <rFont val="David"/>
        <family val="2"/>
        <charset val="177"/>
      </rPr>
      <t>.</t>
    </r>
  </si>
  <si>
    <t>שווי שימוש נטו:</t>
  </si>
  <si>
    <t>מחיר הון</t>
  </si>
  <si>
    <t>שווי שימוש נטו NPV</t>
  </si>
  <si>
    <t>סב״ה - הגבוה מביניהם</t>
  </si>
  <si>
    <t>גבוה בטירוף, כמובן שלא מעיד על ירידת ערך, ועלייית ערך לא רלוונטית כי ההפרשה אופסה ש״ק</t>
  </si>
  <si>
    <t xml:space="preserve">חברת ״לפעמים החגיגה נגמרת״ בע״מ (להלן: ״החברה״) היא חברה תעשייתית בתחום השימורים אשר הוקמה </t>
  </si>
  <si>
    <t>בתאריך 1 בינואר 2008. ביום הקמתה, רכשה החברה קו ייצור (להלן - ״קו ייצור א״) תמורת 5,400 אלפי ש״ח.</t>
  </si>
  <si>
    <t>להלן נתונים נוספים:</t>
  </si>
  <si>
    <t>א. קו הייצור א הפך לזמין והחל לשמש את החברה מיד במועד רכישתו. הוא מופחת על פני 5 שנים בשיטת הקו</t>
  </si>
  <si>
    <t>הישר. ערך השייר / הגרט הנאמד לפריט הוא אפס. במהלך כל שנות חיי קו הייצור בחברה לא חל שינוי בערך היישר</t>
  </si>
  <si>
    <t>ו/או באורך החיים הצפוי של הפריט.</t>
  </si>
  <si>
    <t xml:space="preserve">ב. ב-1 ביולי 2009 רכשה החברה קו ייצור נוסף (להלן: ״קו ייצור ב״) בעלות של 6,000 אלפי ש״ח. לצורך </t>
  </si>
  <si>
    <t>מימון 50% מעלות הרכישה, נטלה החברה ביום 1 ביולי 2009 הלוואה מהבנק לתקופה של 5 שנים. ההלוואה</t>
  </si>
  <si>
    <t>נושאת ריבית בשיעור 6% לשנה המשולמת מדי שנה, החל מ-1.7.2010. הריבית לחלקי תקופה נצברת בשיטת הריבית</t>
  </si>
  <si>
    <t>הפשוטה, וקרן ההלוואה והריבית בגינה צמודות לדולר.</t>
  </si>
  <si>
    <r>
      <rPr>
        <b/>
        <u/>
        <sz val="12"/>
        <color theme="1"/>
        <rFont val="David"/>
        <family val="2"/>
        <charset val="177"/>
      </rPr>
      <t>תהליך התקנת קו הייצור והכנתו לפעולה הסתיים ב-1 ביולי 2010</t>
    </r>
    <r>
      <rPr>
        <sz val="12"/>
        <color theme="1"/>
        <rFont val="David"/>
        <family val="2"/>
        <charset val="177"/>
      </rPr>
      <t xml:space="preserve">. במועד זה הופעל קו הייצור. עלויות ההכנה </t>
    </r>
  </si>
  <si>
    <t>וההתקנה הסתכמו לסך של 100 אלפי ש״ח, כאשר עלויות התקנה אלו מתפלגות באופן שווה על פני תקופת ההתקנה.</t>
  </si>
  <si>
    <r>
      <rPr>
        <b/>
        <u/>
        <sz val="12"/>
        <color theme="1"/>
        <rFont val="David"/>
        <family val="2"/>
        <charset val="177"/>
      </rPr>
      <t>קו הייצור מופחת על פני 4.5 שנים בשיטת הקו הישר</t>
    </r>
    <r>
      <rPr>
        <sz val="12"/>
        <color theme="1"/>
        <rFont val="David"/>
        <family val="2"/>
        <charset val="177"/>
      </rPr>
      <t xml:space="preserve">. </t>
    </r>
    <r>
      <rPr>
        <b/>
        <sz val="12"/>
        <color theme="1"/>
        <rFont val="David"/>
        <family val="2"/>
        <charset val="177"/>
      </rPr>
      <t>ערך השייר הצפוי הוא 150 אלפי ש״ח</t>
    </r>
    <r>
      <rPr>
        <sz val="12"/>
        <color theme="1"/>
        <rFont val="David"/>
        <family val="2"/>
        <charset val="177"/>
      </rPr>
      <t>. במהלך שנות חיי קו</t>
    </r>
  </si>
  <si>
    <t>הייצור לא חל שינוי בערך השייר ו/או באורך החיים הצפוי של הפריט. ערך השייר הוערך כחיובי לראשונה בהשלמת הנכס.</t>
  </si>
  <si>
    <t>ג. בתום 2009 פורסם מחקר רפואי הקובע כי בתהליך שימור המזון נוצרים חיידקים צואתיים. בעקבות פרסום</t>
  </si>
  <si>
    <t>המאמר חלה ירידה משמעותית בביקוש לקופסאות השימורים. החברה החלה מיידית בביצוע פעולות מתקנות</t>
  </si>
  <si>
    <t>אך בסוף 2010 החריפה הירידה בביקוש.</t>
  </si>
  <si>
    <t>ד. להלן נתונים לגבי תקבולים ותשלומים צפויים מהפעלת שני קווי הייצור:</t>
  </si>
  <si>
    <t>קו ייצור א</t>
  </si>
  <si>
    <t>הכנסות</t>
  </si>
  <si>
    <t>הוצ׳ תפעול</t>
  </si>
  <si>
    <t>מסים</t>
  </si>
  <si>
    <t>קו ייצור ב</t>
  </si>
  <si>
    <t>הערה: נתוני 2010 כוללים גם עלויות חזויות להשלמת הנכס.</t>
  </si>
  <si>
    <t>ה. במהלך שנת 2011 סיימה החברה בהצלחה את התהליך שיימנע היווצרות חיידקים צואתיים. הם שולבו</t>
  </si>
  <si>
    <t>בתהליך הייצור החל משנת 2012. להלן תחזית הנהלת החברה לגבי התשלומים והתקבולים מכל אחד מקווי</t>
  </si>
  <si>
    <t>הייצור ליום 31.12.2011:</t>
  </si>
  <si>
    <t>ו. להלן השווי ההוגן של קווי הייצור:</t>
  </si>
  <si>
    <t>ז. להלן נותנים בדבר שערי החליפין של הדולר:</t>
  </si>
  <si>
    <t>שע״ח</t>
  </si>
  <si>
    <t>ח. נתונים נוספים:</t>
  </si>
  <si>
    <t>שיעור ההיוון לפני מס הנו 7%.</t>
  </si>
  <si>
    <t>שיעור המס החל על החברה הוא 36%.</t>
  </si>
  <si>
    <t>מדיניות היוון העלויות של החברה מקובלת על רשויות המס.</t>
  </si>
  <si>
    <t>ההפסד הנובע מירידת ערך לא יותר בניכוי לצרכי מס.</t>
  </si>
  <si>
    <t>החברה צופה רווחים בשנים הבאות.</t>
  </si>
  <si>
    <t xml:space="preserve">נדרש: חשבו והציגו פקודות יומן רלוונטיות והציגו את יתרת ערך הספרים של הפריט ואת יתרת נכס / התחייבות </t>
  </si>
  <si>
    <t>המס הנדחה לתום כל אחת מהשנים. יש לבצע דיון מפורט בגין כל קו ייצור בנפרד.</t>
  </si>
  <si>
    <t>שאלה 23 - שאלה בנושא IAS 36 - ״לפעמים החגיגה נגמרת״</t>
  </si>
  <si>
    <t xml:space="preserve">שווי שימוש נטו מביא </t>
  </si>
  <si>
    <t>בחשבון את התזרים התפעולי</t>
  </si>
  <si>
    <t>ללא עלויות מימון ומסים</t>
  </si>
  <si>
    <t xml:space="preserve">שווי שימוש נטו </t>
  </si>
  <si>
    <t>שיעור היוון (מחיר הון)</t>
  </si>
  <si>
    <t>שווי שימוש נטו - NPV</t>
  </si>
  <si>
    <t>שווי הוגן (אין עלויות מכירה)</t>
  </si>
  <si>
    <t>סב״ה לפי הגבוה</t>
  </si>
  <si>
    <t>שזהה לדיווח</t>
  </si>
  <si>
    <t>קו ייצור א - מסים על ההכנסה</t>
  </si>
  <si>
    <t>בסיס המס</t>
  </si>
  <si>
    <t>הפרש זמני (ניתן לניכוי)</t>
  </si>
  <si>
    <t>שיעור המס</t>
  </si>
  <si>
    <t xml:space="preserve">נכס מס נדחה </t>
  </si>
  <si>
    <r>
      <t xml:space="preserve">הכנסות מס נדחה </t>
    </r>
    <r>
      <rPr>
        <b/>
        <sz val="10"/>
        <color theme="1"/>
        <rFont val="David"/>
        <family val="2"/>
        <charset val="177"/>
      </rPr>
      <t>(לפי העלייה בנכס מס נדחה)</t>
    </r>
  </si>
  <si>
    <r>
      <t xml:space="preserve">הוצאות מס נדחה </t>
    </r>
    <r>
      <rPr>
        <b/>
        <sz val="8"/>
        <color theme="1"/>
        <rFont val="David"/>
        <family val="2"/>
        <charset val="177"/>
      </rPr>
      <t>(לפי הירידה בנכס מס נדחה)</t>
    </r>
  </si>
  <si>
    <t>חישוב עלויות כוללות של הפריט בשלבי הקמתו:</t>
  </si>
  <si>
    <t>עלות ישירה</t>
  </si>
  <si>
    <t>עלויות התקנה</t>
  </si>
  <si>
    <t>ע. מימון</t>
  </si>
  <si>
    <t>יתרה לדיווח</t>
  </si>
  <si>
    <t>ע. מימון:</t>
  </si>
  <si>
    <t>תשלומים</t>
  </si>
  <si>
    <t>עלויות מימון</t>
  </si>
  <si>
    <t>PN</t>
  </si>
  <si>
    <t>חישוב סכום בר השבה - קו ייצור ב</t>
  </si>
  <si>
    <t>תזרימים לטובת שווי שימוש נטו:</t>
  </si>
  <si>
    <t>ש.ש.נ</t>
  </si>
  <si>
    <t>י.פ.</t>
  </si>
  <si>
    <t>י.ס.</t>
  </si>
  <si>
    <t>נתון ביניים</t>
  </si>
  <si>
    <t>הוצאות מימון ברווח והפסד</t>
  </si>
  <si>
    <t>החל משנת 2011, בהיעדר נתונים סותרים, אין שינויים בשער הדולר, לכן הוצאות המימון</t>
  </si>
  <si>
    <t>הן המכפלה הפשוטה של שיעור הריבית ביתרת הקרן לתום 2010:</t>
  </si>
  <si>
    <t xml:space="preserve">3,000 * 3.925/3.5 * 6% = </t>
  </si>
  <si>
    <t>קו ייצור ב - מסים על ההכנסה</t>
  </si>
  <si>
    <t>שיעור 8 - המשך דיון ב-IAS 16 בהיבט ירידת ערך נכסים (משולב עם IAS 36) בהדגש הסוגיות מ״חגיגה נגמרת״</t>
  </si>
  <si>
    <t>מטרה:</t>
  </si>
  <si>
    <t>בחלק האחרון של המפגש הקודם, התחלנו לפתור שאלה גדולה שמשלבת את IAS 16 עם IAS 36, אך כוללת גם סוגיות</t>
  </si>
  <si>
    <t xml:space="preserve">בעלויות מימון ובמסים. </t>
  </si>
  <si>
    <t>מטרתנו היא לעטוף כעת באופן עקרוני את הסוגיות האלו, להמחיש את ההיגיון בבסיסן - ובעיקר לתרגל באופן</t>
  </si>
  <si>
    <t>שייתן לנו הבנה מעמיקה יותר לגביהן.</t>
  </si>
  <si>
    <t>תכל׳ס:</t>
  </si>
  <si>
    <t xml:space="preserve">א. נתחיל מאופן חישוב עלויות מימון במקרה של הלוואות צמודות, כולל רכיבים של ריבית לשלם ו״מעגלים״. </t>
  </si>
  <si>
    <t>ב. נתייחס לאופן הטיפול בחישוב שווי שימוש נטו על בסיס נתוני הכנסות והוצאות.</t>
  </si>
  <si>
    <t>ג. נדגיש את הפערים בין אופן הטיפול החשבונאי בנכסים לבין אופן הטיפול לצורך מס - וההיגיון בהשפעת המס</t>
  </si>
  <si>
    <t>ד. נחבר ונעטוף את הדברים בהקשר ל - IAS 16 בתרגול רלוונטי.</t>
  </si>
  <si>
    <t>א. עלויות מימון במקרה של הלוואות צמודות</t>
  </si>
  <si>
    <t xml:space="preserve">עקרונית - חישוב הוצאות / עלויות מימון - זה נושא של ״מימון״ ולא של חשבונאות; ובטח לא בהקשר מאד ישיר </t>
  </si>
  <si>
    <r>
      <t xml:space="preserve">לרכוש קבוע. יחד עם זאת, לעתים עלויות מימון שנוצרות כדי לגייס כסף שמשמש </t>
    </r>
    <r>
      <rPr>
        <b/>
        <sz val="12"/>
        <color theme="1"/>
        <rFont val="David"/>
        <family val="2"/>
        <charset val="177"/>
      </rPr>
      <t>להקמת נכס</t>
    </r>
    <r>
      <rPr>
        <sz val="12"/>
        <color theme="1"/>
        <rFont val="David"/>
        <family val="2"/>
        <charset val="177"/>
      </rPr>
      <t xml:space="preserve"> (רכוש קבוע) - </t>
    </r>
  </si>
  <si>
    <t xml:space="preserve">מתייחסים אליהן כחלק מעלותו. </t>
  </si>
  <si>
    <t>תקן חשבונאות IAS 23 שעוסק ב״היוון עלויות אשראי״ (ושאותו תלמדו בהמשך לעומק עם רו״ח רופל) דן בכך</t>
  </si>
  <si>
    <t>בצורה עמוקה. אנחנו צריכים רק להכיר את המנגנון הבסיסי, ולכן סוגי עלויות המימון שידיעתן מחייבת בקורס שלנו</t>
  </si>
  <si>
    <t xml:space="preserve">תהיה בסיסי למדי. </t>
  </si>
  <si>
    <r>
      <t xml:space="preserve">בקצרה: אם נתון לי שאני </t>
    </r>
    <r>
      <rPr>
        <b/>
        <u/>
        <sz val="12"/>
        <color theme="1"/>
        <rFont val="David"/>
        <family val="2"/>
        <charset val="177"/>
      </rPr>
      <t>בונה</t>
    </r>
    <r>
      <rPr>
        <b/>
        <sz val="12"/>
        <color theme="1"/>
        <rFont val="David"/>
        <family val="2"/>
        <charset val="177"/>
      </rPr>
      <t xml:space="preserve"> מכונת נקניק ונוטל הלוואה לטובת זאת - אילו עלויות מימון אשייך לנכס המכונה?</t>
    </r>
  </si>
  <si>
    <t>באופן כללי - לעלויות המימון בהלוואות יש שני רכיבים:</t>
  </si>
  <si>
    <t>ריבית.</t>
  </si>
  <si>
    <t>הפרשי הצמדה (לדולר / למדד המחירים).</t>
  </si>
  <si>
    <r>
      <t xml:space="preserve">בחשבונאות: המטרה </t>
    </r>
    <r>
      <rPr>
        <b/>
        <sz val="12"/>
        <color theme="1"/>
        <rFont val="David"/>
        <family val="2"/>
        <charset val="177"/>
      </rPr>
      <t>איננה</t>
    </r>
    <r>
      <rPr>
        <sz val="12"/>
        <color theme="1"/>
        <rFont val="David"/>
        <family val="2"/>
        <charset val="177"/>
      </rPr>
      <t xml:space="preserve"> לחשב את עלויות המימון </t>
    </r>
    <r>
      <rPr>
        <b/>
        <sz val="12"/>
        <color theme="1"/>
        <rFont val="David"/>
        <family val="2"/>
        <charset val="177"/>
      </rPr>
      <t>במזומן</t>
    </r>
    <r>
      <rPr>
        <sz val="12"/>
        <color theme="1"/>
        <rFont val="David"/>
        <family val="2"/>
        <charset val="177"/>
      </rPr>
      <t xml:space="preserve"> אלא את הצבירה שלהן בתקופת הדיווח. </t>
    </r>
  </si>
  <si>
    <t>למרות שאפשר, מתמטית, לחשב בצורה ישירה כל אחד מרכיבי עלות המימון, הדרך שהיא יעילה הרבה יותר עוברת</t>
  </si>
  <si>
    <r>
      <t>דרך טכניקה שנקראת ״</t>
    </r>
    <r>
      <rPr>
        <b/>
        <sz val="12"/>
        <color rgb="FFFF0000"/>
        <rFont val="David"/>
        <family val="2"/>
        <charset val="177"/>
      </rPr>
      <t>מעגל הלוואות</t>
    </r>
    <r>
      <rPr>
        <b/>
        <sz val="12"/>
        <color theme="1"/>
        <rFont val="David"/>
        <family val="2"/>
        <charset val="177"/>
      </rPr>
      <t>״ (כלי לחישוב עלויות מימון במקרה מורכב, נציג כעת):</t>
    </r>
  </si>
  <si>
    <t>יתרת הפתיחה של ההתחייבות בגין ההלוואה (סך ההתחייבות)</t>
  </si>
  <si>
    <t>+</t>
  </si>
  <si>
    <t>תשלומים שבוצעו בעד ההתחייבות במהלך התקופה</t>
  </si>
  <si>
    <t>(-)</t>
  </si>
  <si>
    <t>עלויות המימון PN</t>
  </si>
  <si>
    <t>יתרת הסגירה של ההתחייבות בגין ההלוואה (סך ההתחייבויות)</t>
  </si>
  <si>
    <t>דוגמא מספרית - עלויות מימון:</t>
  </si>
  <si>
    <t xml:space="preserve">חברת נקניקי הכפר נטלה ב-1/7/2009 הלוואה. </t>
  </si>
  <si>
    <t xml:space="preserve">סכום ההלוואה 3,000 ש״ח. </t>
  </si>
  <si>
    <t xml:space="preserve">ההלוואה צמודה לשער החליפין של הדולר. </t>
  </si>
  <si>
    <t xml:space="preserve">ההלוואה לתקופה של 5 שנים, נושאת ריבית שנתית בשיעור 6% (המחושבת כריבית פשוטה), כאשר הריבית </t>
  </si>
  <si>
    <t xml:space="preserve">משולמת ב-1/7 של כל שנה, כך שתשלום הריבית הראשון הוא ב-1/7/2010. </t>
  </si>
  <si>
    <t xml:space="preserve">קרן ההלוואה תפרע בתשלום אחד ויחיד בתום 5 השנים. </t>
  </si>
  <si>
    <t>להלן נתונים לגבי שער החליפין של הדולר בתאריכים שונים:</t>
  </si>
  <si>
    <t xml:space="preserve">א. חשבו את עלויות המימון לכל אחת מהשנים 2009 ו-2010. </t>
  </si>
  <si>
    <t xml:space="preserve">ב. פצלו את עלויות המימון בשנת 2010 בין המחצית הראשונה של השנה והמחצית השניה של השנה. </t>
  </si>
  <si>
    <t xml:space="preserve">פתרון א -  חשבו את עלויות המימון לכל אחת מהשנים 2009 ו-2010. </t>
  </si>
  <si>
    <t>בשנת 2009, שנת נטילת ההלוואה, יתרת הפתיחה של ההתחייבות היא סכום ההלוואה.</t>
  </si>
  <si>
    <t>בכל שנה לאחר מכן, יתרת הפתיחה תהיה יתרת הסגירה של השנה הקודמת.</t>
  </si>
  <si>
    <t>יתרת התחייבות</t>
  </si>
  <si>
    <t>ההתחייבות</t>
  </si>
  <si>
    <t>נטילת</t>
  </si>
  <si>
    <t>בגין ריבית</t>
  </si>
  <si>
    <t>לפני הצמדה</t>
  </si>
  <si>
    <t>הלוואה</t>
  </si>
  <si>
    <t>הצמדה</t>
  </si>
  <si>
    <t>שנצברה</t>
  </si>
  <si>
    <t>מתאפסת,</t>
  </si>
  <si>
    <t xml:space="preserve">הקרן </t>
  </si>
  <si>
    <t>הצמדה: כופלים בשער</t>
  </si>
  <si>
    <t>הצמדה:</t>
  </si>
  <si>
    <t>נשארת זהה</t>
  </si>
  <si>
    <t>דולר עדכני 3.675</t>
  </si>
  <si>
    <t>חלקי שער דולר בנטילת</t>
  </si>
  <si>
    <t>דולר עדכני 3.925</t>
  </si>
  <si>
    <t>הלוואה: 3.5</t>
  </si>
  <si>
    <t>יתרת התחייבות ״סופית״</t>
  </si>
  <si>
    <t>יתרת התחייבות סופית</t>
  </si>
  <si>
    <t xml:space="preserve">פתרון ב - פצלו את עלויות המימון בשנת 2010 בין המחצית הראשונה של השנה והמחצית השניה של השנה. </t>
  </si>
  <si>
    <t>יתרת הפתיחה של ההתחייבות בגין ההלוואה (סך ההתחייבות) - 1.1.2010</t>
  </si>
  <si>
    <t>תשלומים שבוצעו בעד ההתחייבות במהלך התקופה 1.7.2010 (מחצית 1)</t>
  </si>
  <si>
    <t>עלויות מימון - מחצית ראשונה של 2010</t>
  </si>
  <si>
    <t>יתרת ״סגירה״ ל-1.7.2010</t>
  </si>
  <si>
    <t>תשלומים שבוצעו בעד ההתחייבות 1.7.2010 - 31.12.2010 (מחצית 2)</t>
  </si>
  <si>
    <t>עלויות מימון - מחצית שניה של 2010</t>
  </si>
  <si>
    <t>יתרת סגירה ל-31.12.2010</t>
  </si>
  <si>
    <t>דוגמא מספרית לעבודת כיתה - צריך</t>
  </si>
  <si>
    <t xml:space="preserve">חברת צריך נקניק דחוף בכפר נטלה ב-1/10/2009 הלוואה. </t>
  </si>
  <si>
    <t xml:space="preserve">סכום ההלוואה 10,000 ש״ח. </t>
  </si>
  <si>
    <t xml:space="preserve">ההלוואה לתקופה של 10 שנים, נושאת ריבית שנתית בשיעור 8% (המחושבת כריבית פשוטה), כאשר הריבית </t>
  </si>
  <si>
    <t xml:space="preserve">משולמת ב-1/10 של כל שנה, כך שתשלום הריבית הראשון הוא ב-1/10/2010. </t>
  </si>
  <si>
    <t xml:space="preserve">קרן ההלוואה תפרע בתשלום אחד ויחיד בתום 10 השנים. </t>
  </si>
  <si>
    <t>טיפים:</t>
  </si>
  <si>
    <t xml:space="preserve">א. הציגו את עלויות המימון לכל אחת מהשנים 2009 ו-2010. </t>
  </si>
  <si>
    <t xml:space="preserve">ב. פצלו את עלויות המימון ב-2010 בין המחצית הראשונה של השנה למחצית השניה של השנה. </t>
  </si>
  <si>
    <t>יתרת פתיחה של ההתחייבות - 1/1/2010</t>
  </si>
  <si>
    <t>קחו מיתרת הסגירה של 2009</t>
  </si>
  <si>
    <t>בניכוי תשלומים במחצית הראשונה של 2010</t>
  </si>
  <si>
    <t>זכרו: התשלומים הם תשלומים בפועל, לפי המועד שנקבע בחוזה</t>
  </si>
  <si>
    <t>בתוספת עלויות מימון במחצית הראשונה של 2010 PN</t>
  </si>
  <si>
    <t>מחולץ רק ״בסוף״</t>
  </si>
  <si>
    <t>יתרת סגירה של ההתחייבות 30/6/2010</t>
  </si>
  <si>
    <t>יתרת הקרן שטרם שולמה, בתוספת ריבית שנצברה וטרם שולמה, צמוד לדולר</t>
  </si>
  <si>
    <t>בניכוי תשלומים במחצית השניה של 2010</t>
  </si>
  <si>
    <t>בתוספת עלויות מימון במחצית השניה של 2010 PN</t>
  </si>
  <si>
    <t>יתרת סגירה של ההתחייבות 31/12/2010</t>
  </si>
  <si>
    <t>ב. חישוב שווי מימוש נטו של סוסים על בסיס הכנסות והוצאות</t>
  </si>
  <si>
    <t>תזכורת:</t>
  </si>
  <si>
    <t>כאשר מתקיימים סממנים לירידת ערך, עלינו לחשב סכום בר השבה.</t>
  </si>
  <si>
    <t>סכום בר השבה הוא הגבוה מבין:</t>
  </si>
  <si>
    <t>לבין:</t>
  </si>
  <si>
    <t>שווי הוגן בניכוי עלויות מכירה.</t>
  </si>
  <si>
    <t xml:space="preserve">הערך הנוכחי (מהוון - PV) של תזרימי המזומנים התפעוליים העתידיים הצפויים לנבוע מהנכס. </t>
  </si>
  <si>
    <t>אם בשאלה לא קיימים נתוני תזרימים נטו שניתן להוון אלא נתוני הכנסות והוצאות - יש לחשב את ההפרש ביניהם</t>
  </si>
  <si>
    <t xml:space="preserve">על מנת להגיע לתזרים נטו ולשווי שימוש נטו. </t>
  </si>
  <si>
    <t>לצורך חישוב זה - איננו מנכים מההכנסות את הוצאות המס. הסיבה לכך היא שהטיפול בהיבט המס הוא בנפרד.</t>
  </si>
  <si>
    <t>יישום חישוב שווי שימוש נטו:</t>
  </si>
  <si>
    <t xml:space="preserve">אם נתונים תזרימי המזומנים הצפויים - והם קבועים - אפשר להשתמש בפונקציית PV. </t>
  </si>
  <si>
    <t xml:space="preserve">אם תזרימי המזומנים הצפויים אינם קבועים - יש להשתמש בפונקציית NPV. </t>
  </si>
  <si>
    <t xml:space="preserve">אם לנכס קיים ערך שייר / גרט, אז פרט לתזרימיו השוטפים הצפויים, יש להתייחס גם לגרט כתזרים חיובי. </t>
  </si>
  <si>
    <t>דוגמא מספרית לחישוב שווי מימוש נטו על בסיס נתוני הכנסות והוצאות</t>
  </si>
  <si>
    <t>חברת ״שירה והנקניקים״ בע״מ מעוניינת לחשב את שווי המימוש נטו של מכונה ענקית לחימום נקניק שברשותה,</t>
  </si>
  <si>
    <t>כחלק מהליך חישוב הסכום בר ההשבה, לאור קיומם של סממנים העלולים להעיד על ירידת ערך הנכס.</t>
  </si>
  <si>
    <t>סממנים אלו כללו ביקורת מחלקת תברואה שזיהתה עובדים מחטטים באף במהלך החימום.</t>
  </si>
  <si>
    <t>תזרימים צפויים - ליום 31/12/2010:</t>
  </si>
  <si>
    <t>נכון למועד זה, הנכס צפוי לפעול עוד 5 שנים, ההכנסות השנתיות הצפויות ממנו הן 50,000 לשנה, ההוצאות</t>
  </si>
  <si>
    <t xml:space="preserve">אם התזרימים התפעוליים נטו נתונים והם קבועים - </t>
  </si>
  <si>
    <t>התפעוליות הצפויות 20,000 לשנה, והמס לתשלום 5,000 ש״ח לשנה. כמו כן, נכון למועד זה, לא צפוי לפריט ערך שייר/גרט.</t>
  </si>
  <si>
    <t xml:space="preserve">נהוון אותם ב - PV. </t>
  </si>
  <si>
    <t xml:space="preserve">אם אינם נתונים - נחשב אותם בהתעלם ממס, </t>
  </si>
  <si>
    <t>תזרימים צפויים ליום 31/12/2011:</t>
  </si>
  <si>
    <t xml:space="preserve">ובמידה והם קבועים - נהוון ב - PV. </t>
  </si>
  <si>
    <t>להלן תיאור התזרימים העתידיים נכון למועד זה:</t>
  </si>
  <si>
    <t xml:space="preserve">אם הם משתנים - נהוון ב - NPV. </t>
  </si>
  <si>
    <t>חשוב לזכור: אם קיים ערך שייר / גרט נוסיף אותו</t>
  </si>
  <si>
    <t>הכנסות תפעוליות</t>
  </si>
  <si>
    <t xml:space="preserve">לתזרים התפעולי האחרון. </t>
  </si>
  <si>
    <t>הוצאות תפעוליות</t>
  </si>
  <si>
    <t>הוצאות מס</t>
  </si>
  <si>
    <t>נכון למועד זה, לא צפוי לנכס ערך שייר / גרט.</t>
  </si>
  <si>
    <t>תזרימים צפויים ליום 31/12/2012:</t>
  </si>
  <si>
    <t>תחזית התזרימים הנותרים לא השתנתה, אך צפוי לפריט ערך שייר / גרט בתום חייו (תום 2015) בסך 17,000 ש״ח.</t>
  </si>
  <si>
    <t>בנתונים אלו:</t>
  </si>
  <si>
    <t xml:space="preserve">חשבו את שווי המימוש נטו לתום כל אחת מהשנים 2010, 2011 ו-2012. </t>
  </si>
  <si>
    <t xml:space="preserve">ידוע ששיעור ההיוון של החברה קבוע והנו 5% לשנה. </t>
  </si>
  <si>
    <t xml:space="preserve">שווי מימוש נטו מחושב על בסיס תזרימים תפעוליים (ללא התייחסות לרכיב המס). </t>
  </si>
  <si>
    <t>נתחיל מהתזרים התפעולי הצפוי בעתיד נכון ליום 31/12/2010:</t>
  </si>
  <si>
    <t xml:space="preserve">ההכנסות וההוצאות התפעוליות כאן קבועות (מהמס - נתעלם). </t>
  </si>
  <si>
    <t>סכום התזרים נטו, יהיה, לפיכך:</t>
  </si>
  <si>
    <t>50,000 - 20,000 = 30,000</t>
  </si>
  <si>
    <t xml:space="preserve">pmt = </t>
  </si>
  <si>
    <t>חישוב הערך הנוכחי של התזרימים התפעוליים נטו (כדי להגיע לשווי שימוש נטו כהגדרתו):</t>
  </si>
  <si>
    <t>מחיר ההון / שיעור ההיוון</t>
  </si>
  <si>
    <t>מספר תזרימי המזומנים הקבועים</t>
  </si>
  <si>
    <t xml:space="preserve">nper = </t>
  </si>
  <si>
    <t>תשלום / תקבול תקופתי קבוע</t>
  </si>
  <si>
    <t>תשלום חד פעמי ״נוסף״ בתום העסקה, אם יש</t>
  </si>
  <si>
    <t xml:space="preserve">fv = </t>
  </si>
  <si>
    <t xml:space="preserve">pv = </t>
  </si>
  <si>
    <t>לכן שווי שימוש נטו ליום 31/12/2010 יהיה:</t>
  </si>
  <si>
    <t>בשלב ראשון, נחשב תזרים תפעולי בכל שנה, שהוא ההפרש בין ההכנסות התפעוליות וההוצאות התפעוליות:</t>
  </si>
  <si>
    <t>תזרים תפעולי</t>
  </si>
  <si>
    <t xml:space="preserve">וכעת בשלב שני נחשב את ערכם הנוכחי - הואיל והתזרימים משתנים, ערך נוכחי יחושב עם NPV. </t>
  </si>
  <si>
    <t>מועד</t>
  </si>
  <si>
    <t>תזרימים</t>
  </si>
  <si>
    <t>לכן שווי שימוש נטו ליום 31/12/2011: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</si>
  <si>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 xml:space="preserve">+ 17,000 = </t>
    </r>
  </si>
  <si>
    <t>לכן, שווי שימוש נטו ליום 31/12/2012:</t>
  </si>
  <si>
    <t>דוגמא מספרית - הבמה שלכם - חישוב שווי שימוש נטו במצבים שונים</t>
  </si>
  <si>
    <t xml:space="preserve">אינאס רכשה מפעל גדול לחימום נקניק. </t>
  </si>
  <si>
    <t xml:space="preserve">לאחרונה התבשרה אינאס כי עובדים רבים סובלים מבעיות עיכול בעקבות אכילת הנקניק. </t>
  </si>
  <si>
    <t xml:space="preserve">לדעתה של אינאס, יש מצב שהשתרבבו למכונת החימום כרבולות מקולקלות. </t>
  </si>
  <si>
    <t>כפועל יוצא, נוצר חשד לירידת ערך של המכונה.</t>
  </si>
  <si>
    <t>בבדיקה כלכלית שנערכה בתום כל אחת מהשנים 2020, 2021 ו-2022, עלו הנתונים הבאים:</t>
  </si>
  <si>
    <t>שנת 2020:</t>
  </si>
  <si>
    <t>ההכנסות התפעוליות השנתיות בשנתיים הקרובות הן 60,000 לשנה, לאחר מכן 80,000 לשנה.</t>
  </si>
  <si>
    <t>ההוצאות התפעוליות השנתיות קבועות בסך 40,000 לשנה.</t>
  </si>
  <si>
    <t xml:space="preserve">הנכס יסיים את חייו בתום שנת 2030. </t>
  </si>
  <si>
    <t xml:space="preserve">שיעור המס על הרווח התפעולי 20%. </t>
  </si>
  <si>
    <t>שנת 2021:</t>
  </si>
  <si>
    <t xml:space="preserve">הרווח התפעולי לפני מסים צפוי להיות 30,000 לשנה. </t>
  </si>
  <si>
    <t xml:space="preserve">הנכס צפוי לסיים את חייו בתום שנת 2032. </t>
  </si>
  <si>
    <t xml:space="preserve">לנכס צפוי (לראשונה) ערך שייר / גרט בתום חייו, בסך 15,000. </t>
  </si>
  <si>
    <t>שנת 2022:</t>
  </si>
  <si>
    <t>ההכנסות התפעוליות השנתיות הן 60,000 ש״ח בשנה הבאה והן יקטנו ב-10% בכל שנה</t>
  </si>
  <si>
    <t>ביחס לשנה הקודמת.</t>
  </si>
  <si>
    <t xml:space="preserve">ההוצאות התפעוליות השנתיות הן 40,000 ש״ח בשנה הבאה, והן יגדלו ב-1% לשנה </t>
  </si>
  <si>
    <t>בכל שנה ביחס לשנה הקודמת.</t>
  </si>
  <si>
    <t xml:space="preserve">הנכס צפוי לסיים את חייו בתום שנת 2027. </t>
  </si>
  <si>
    <t>נדרש: בהנחה שמחיר ההון של החברה 4% לשנה, מהו שווי השימוש נטו אותו תעריך החברה בתום כל אחת מהשנים?</t>
  </si>
  <si>
    <t xml:space="preserve">התזרימים משתנים בשלב מסוים, לכן אני אוהב לעבוד עם טור של תזרימים תפעוליים ולהפעיל עליו NPV. </t>
  </si>
  <si>
    <t>כשהתזרים קבוע, אפשר להשתמש ב - PV:</t>
  </si>
  <si>
    <t>מחיר ההון - נתון</t>
  </si>
  <si>
    <t>מספר תזרימי המזומנים העתידיים</t>
  </si>
  <si>
    <t>תזרים שנתי קבוע</t>
  </si>
  <si>
    <t>ערך שייר / גרט = תזרים חד פעמי שמתווסף לתזרים בסוף</t>
  </si>
  <si>
    <t>שווי שימוש נטו (ערך מוחלט):</t>
  </si>
  <si>
    <t>הפרש</t>
  </si>
  <si>
    <t xml:space="preserve">   הקשורה.</t>
  </si>
  <si>
    <t>ככלל: היכולת להוסיף / לשייך</t>
  </si>
  <si>
    <t>עלויות מימון לנכס כגון רכוש קבוע</t>
  </si>
  <si>
    <t>תתקיים רק בתהליך הקמתו</t>
  </si>
  <si>
    <t>לטובת מימון תהליך</t>
  </si>
  <si>
    <t>ההקמה</t>
  </si>
  <si>
    <t>יתרת קרן + הפרשי הצמדה + ריבית לשלם</t>
  </si>
  <si>
    <t>תשלומים (במזומן) שבוצעו בעד ההתחייבות במהלך התקופה</t>
  </si>
  <si>
    <t>תשלומי ריבית ו/או קרן בפועל לפי נתוני ההסדר</t>
  </si>
  <si>
    <t>חילוץ עלויות מימון בתור המשלים של 1+3 ל-2</t>
  </si>
  <si>
    <t>י״פ 1.7.2009</t>
  </si>
  <si>
    <t>תשלומים (-)</t>
  </si>
  <si>
    <t>י״ס 31.12.2009</t>
  </si>
  <si>
    <t>הוצ׳ מימון PN</t>
  </si>
  <si>
    <t xml:space="preserve">(3,000 + 6% / 2 * 3,000) * (3.675/3.5) = </t>
  </si>
  <si>
    <t xml:space="preserve">3,000 * 6% * 3.8/3.5 = </t>
  </si>
  <si>
    <t>י״ס 31.12.2010</t>
  </si>
  <si>
    <t xml:space="preserve">(3,000 + 6%/2 * 3,000) * (3.925/3.5) = </t>
  </si>
  <si>
    <t>פתרון א</t>
  </si>
  <si>
    <t>פתרון ב</t>
  </si>
  <si>
    <t>תשלומים עד 1.7.2010</t>
  </si>
  <si>
    <t>הוצ׳ מימון מחצית 1 2010</t>
  </si>
  <si>
    <t>י״ס 1.7.2010</t>
  </si>
  <si>
    <t>תשלומים מ-1.7 עד 31.12</t>
  </si>
  <si>
    <t>הוצ׳ מימון מחצית 2 2010</t>
  </si>
  <si>
    <t xml:space="preserve">3,000 * 3.8/3.5 = </t>
  </si>
  <si>
    <t>י״פ 1.10.2009</t>
  </si>
  <si>
    <t>תשלומים 1.10.2009-31.12.2009</t>
  </si>
  <si>
    <t>תשלומים 1.1.2010-1.7.2010</t>
  </si>
  <si>
    <t>תשלומים 1.7.2010-31.12.2010</t>
  </si>
  <si>
    <t>הוצאות מימון 2009</t>
  </si>
  <si>
    <t>הוצאות מימון מחצית 1 2010</t>
  </si>
  <si>
    <t>הוצאות מימון מחצית 2 2010</t>
  </si>
  <si>
    <t>בתרגיל המורכב שהצגנו את תשתית פתרונות בשיעור 7, היו 3 סוגיות עיקריות, שצריך להבין לעומק:</t>
  </si>
  <si>
    <t>א. עלויות מימון במקרה מורכב, והקשר שלהן לנכס בהקמה.</t>
  </si>
  <si>
    <t>ב. חישוב שווי שימוש נטו (כחלק מחישוב סכום בר השבה) בהתבסס על תזרימים תפעוליים כדי לבחון ירידת ערך נכסים.</t>
  </si>
  <si>
    <t>ג. סוגיית מסים על ההכנסה.</t>
  </si>
  <si>
    <t xml:space="preserve">במפגש 8 העמקנו והרחבנו בסוגיות א ו-ב. </t>
  </si>
  <si>
    <t>במפגש הזה - נעמיק בסוגיה ג, ונתחיל לעטוף מחדש את הכל ביחד בתרגיל אינטגרטיבי, כדי להשלים את ההטמעה.</t>
  </si>
  <si>
    <t>מה הקטע של מסים על ההכנסה - בהקשר למדידת נכסים בחשבונאות?</t>
  </si>
  <si>
    <t>נניח שבחברה נוצרו הכנסות בסך 500,000 ש״ח.</t>
  </si>
  <si>
    <t>עוד נניח שבחברה קיימת מכונה לחימום נקניק שעלותה 400,000 ש״ח, והחברה מעריכה עבורה אורך חיים שימושיים</t>
  </si>
  <si>
    <t xml:space="preserve">של 4 שנים ללא ערך שייר / גרט. </t>
  </si>
  <si>
    <t>לפי הנחיות רשות המסים (תקנות מס הכנסה - ניכויים בשל פחת) מותרת הפחתת מכונות לחימום נקניק על פני 10 שנים.</t>
  </si>
  <si>
    <t>הניחו ששיעור המס הוא 30%.</t>
  </si>
  <si>
    <t>נדרש 1: הציגו את דוח רווח והפסד בשנה ה-1 וה-2 תוך הנחה שההכנסות קבועות ואין הוצאות נוספות פרט לפחת.</t>
  </si>
  <si>
    <t>הוצאות</t>
  </si>
  <si>
    <t>רווח לפני מס</t>
  </si>
  <si>
    <t>נדרש 2: הציגו את דוח ההתאמה ואת המס השוטף לתשלום בהתחשב בתקנות מס הכנסה.</t>
  </si>
  <si>
    <t>פחת לצורך מס: 40,000 = 10 / 400,000</t>
  </si>
  <si>
    <t>רווח לפני מס - חשבונאי</t>
  </si>
  <si>
    <t>פחת חשבונאי: 100,000 = 4 / 400,000</t>
  </si>
  <si>
    <t>הוסף: הוצאות פחת</t>
  </si>
  <si>
    <t>התאמה - ביטול פחת בסך: 60,000</t>
  </si>
  <si>
    <t>הכנסה חייבת</t>
  </si>
  <si>
    <t>ההתאמה חיובית.</t>
  </si>
  <si>
    <t>מסים שוטפים לפי</t>
  </si>
  <si>
    <t>מס שוטף לתשלום</t>
  </si>
  <si>
    <t>נדרש 3: המשיכו להציג את דוח ההתאמה לכל 10 השנים:</t>
  </si>
  <si>
    <t>ב-4 השנים הראשונות: פחת חשבונאי ״מוגבר״ ביחס למס</t>
  </si>
  <si>
    <t>ב-6 השנים העוקבות - הפחת החשבונאי מסתיים</t>
  </si>
  <si>
    <t>....6</t>
  </si>
  <si>
    <t>הוסף (נכה) הוצאות פחת</t>
  </si>
  <si>
    <t>פחת חשבונאי: 100,000</t>
  </si>
  <si>
    <t>פחת חשבונאי: 0</t>
  </si>
  <si>
    <t>פחת למס: 40,000</t>
  </si>
  <si>
    <t>יש לבטל פחת (התאמה חיובית): 60,000</t>
  </si>
  <si>
    <t>יש לרשום הוצאות פחת נוספות (התאמה שלילית): 40,000</t>
  </si>
  <si>
    <t>ניתן להתרשם מכך שבעוד שבשנים הראשונות מס הכנסה ״דופק אותי״ - מגדיל את ההכנסה החייבת ובהתאם את תשלום המס המתחייב;</t>
  </si>
  <si>
    <t>בשנים העוקבות - מס הכנסה מלטף אותי - מקטין את ההכנסה החייבת ובהתאם מקטין את תשלום המס המתחייב.</t>
  </si>
  <si>
    <t>התפיסה החשבונאית במצב כזה היא להכיר ברכיב המס ״שיוחזר בעתיד״ בדרך של הטבה - בתור נכס מס נדחה.</t>
  </si>
  <si>
    <t>כל זה רק נועד להמחיש את העקרון הבסיסי של מס נדחה - עקרון שלפיו כאשר מס הכנסה לא מכיר בהוצאות, אבל בעתיד הן כן תוכרנה - אזי</t>
  </si>
  <si>
    <t>נוצר נכס שמשקף את ״החזר המס״ או ״הקלת המס״ הצפויה בעתיד.</t>
  </si>
  <si>
    <t>שי, נחמד מצדך להתאמץ להסביר - אבל איך תכל׳ס זה עובד בשאלת רכוש קבוע / ירידת ערך?</t>
  </si>
  <si>
    <t>מנקודת ראות רשות המסים.</t>
  </si>
  <si>
    <t>בהמשך לנתוני ההמחשה הקודמת, הבה נציג את ערך הספרים של הנכס ואת ערכו (עלותו המופחתת) לצורך מס לתום כל שנה:</t>
  </si>
  <si>
    <t>הפרש זמני ניתן לניכוי</t>
  </si>
  <si>
    <t>נכס מס נדחה</t>
  </si>
  <si>
    <t>אז בעצם:</t>
  </si>
  <si>
    <t>כאשר הערך בספרים של נכס נמוך יותר מבסיס המס - וההפרש צפוי להתהפך בעתיד;</t>
  </si>
  <si>
    <t xml:space="preserve">ההפרש בין הערכים נקרא ״הפרש זמני ניתן לניכוי״, </t>
  </si>
  <si>
    <t>ומכפלתו בשיעור המס היא נכס מס נדחה.</t>
  </si>
  <si>
    <t>מיני תרגיל ראשון - השפעות מס וירידת ערך נכסים</t>
  </si>
  <si>
    <t xml:space="preserve">חברת ״שירה והעיניים״ רכשה מכונה לחימום נקניק לעובדי המשרד ב-1.1.2012. </t>
  </si>
  <si>
    <t xml:space="preserve">עלות המכונה: 100,000 ש״ח. </t>
  </si>
  <si>
    <t>תקופת הפחתה חשבונאית ולצרכי מס: 10 שנים.</t>
  </si>
  <si>
    <t>ערך השייר: 0.</t>
  </si>
  <si>
    <t xml:space="preserve">בתאריך 31.12.2013 התגלה קקי קטן במכונה. </t>
  </si>
  <si>
    <t>כפועל יוצא, הזמינה החברה מעריך שווי שציין כי השווי ההוגן בניכוי עלויות מכירה למועד זה הוא 72,000 ש״ח,</t>
  </si>
  <si>
    <t>וכי שווי השימוש נטו הוא 68,000 ש״ח.</t>
  </si>
  <si>
    <t>בתאריך 31.12.2014, התגלה קקי גדול במכונה.</t>
  </si>
  <si>
    <t>כפועל יוצא, הזמינה החברה מעריך שווי שציין כי השווי ההוגן בניכוי עלויות מכירה למועד זה הוא 40,000 ש״ח,</t>
  </si>
  <si>
    <t>וכי שווי השימוש נטו הוא 35,000 ש״ח.</t>
  </si>
  <si>
    <t xml:space="preserve">רשות המסים איננה מכירה בהוצאות / הכנסות הנובעות מרווח / הפסד מעליית ערך / ירידת ערך. </t>
  </si>
  <si>
    <t xml:space="preserve">שיעור המס אליו כפופה החברה הוא 30%, והחברה רווחית. </t>
  </si>
  <si>
    <t>נדרש: הציגו בטבלה את כל ההשפעות המאזניות והתוצאתיות: עלות, פחת נצבר, הפרשה לירידת ערך, רווח / הפסד מעלייה</t>
  </si>
  <si>
    <t>או ירידת ערך, נכס / התחייבות למס נדחה, הוצאות / הכנסות מס נדחה - עד וכולל תום 2015.</t>
  </si>
  <si>
    <t>אחרי בדיקה</t>
  </si>
  <si>
    <t>כשנכס מס נדחה עולה:</t>
  </si>
  <si>
    <t>הכנסות מס נדחה</t>
  </si>
  <si>
    <t>ח׳ נכס מס נדחה</t>
  </si>
  <si>
    <t>הוצאות מס נדחה</t>
  </si>
  <si>
    <t>ז׳ הוצאות מס נדחה / הכנסות מס נדחה</t>
  </si>
  <si>
    <t>טיפול בסוגיית המס:</t>
  </si>
  <si>
    <t>כשנכס מס נדחה יורד:</t>
  </si>
  <si>
    <t>ח׳ הוצאות מס נדחה</t>
  </si>
  <si>
    <t>ערך הספרים</t>
  </si>
  <si>
    <t>ז׳ נכס מס נדחה</t>
  </si>
  <si>
    <t>בסיס המס (*)</t>
  </si>
  <si>
    <t xml:space="preserve">כנתון, רשות המסים איננה מכירה בהפסדים / רווחים מי״ע וע״ע. </t>
  </si>
  <si>
    <t>לכן, רשות המסים תמשיך להכיר בהפחתת הנכס כל שנה בהתאם לעלות (100,000) חלקי תקופת הפחתה (10)</t>
  </si>
  <si>
    <t xml:space="preserve">כך שבכל שנה, בסיס המס יקטן ב-10,000. </t>
  </si>
  <si>
    <t>כאשר ערך הספרים של הנכס גבוה יותר מבסיס המס - הדבר מעיד על הוצאות בספרים שלא הוכרו לצורך מס.</t>
  </si>
  <si>
    <t>במקרה הזה - הפסדים בגין ירידת ערך.</t>
  </si>
  <si>
    <t>אנו מניחים שההפסדים יוכרו בעתיד לצורך מס (מכירות נמוכות ביותר, מכירת הנכס בהפסד) ואז ההפרש ״יתהפך״</t>
  </si>
  <si>
    <t>ונקבל הטבת מס.</t>
  </si>
  <si>
    <t>מסיבה זו, מכירים ״כבר היום״ בנכס מס נדחה.</t>
  </si>
  <si>
    <t>מיני תרגיל שני - השפעות מס וירידת ערך נכסים</t>
  </si>
  <si>
    <t xml:space="preserve">חברת ״שרירנים ושעונים״ בע״מ היא חברה ציבורית המחממת נקניק בהיקפים גבוהים לסיירות בצבא. </t>
  </si>
  <si>
    <t>להלן נתונים בדבר רכש מכונת נקניק שבוצע ב-1.1.2010:</t>
  </si>
  <si>
    <t>עלות המכונה 80,000 ש״ח.</t>
  </si>
  <si>
    <t xml:space="preserve">אורך החיים השימושיים 10 שנים. </t>
  </si>
  <si>
    <t xml:space="preserve">למכונה אין ערך שייר / גרט. </t>
  </si>
  <si>
    <t>לצרכי מס, המכונה מופחתת בשיטת הקו הישר, תוך התעלמות מעלייה / ירידת ערך.</t>
  </si>
  <si>
    <t>ב-31.12.2010 השרירן בטעות חימם למישהו נקניק עם שעון בתוכו והלקוח נחנק. כפועל יוצא הלקוחות החלו להטיל ספק רב</t>
  </si>
  <si>
    <t xml:space="preserve">באמינות השרירן ולכן נדרשת בדיקת הצורך בהפרשה לירידת ערך. </t>
  </si>
  <si>
    <t xml:space="preserve">בדיקת הצורך בהפרשה לירידת ערך - בוצעה כל שנה מחדש: </t>
  </si>
  <si>
    <t>שווי הוגן בניכוי עלויות מכירה</t>
  </si>
  <si>
    <t xml:space="preserve">החברה רווחית וכפופה לשיעור מס של 25%. </t>
  </si>
  <si>
    <t>נדרש: חשבו והציגו את כל ההשפעות המאזניות והתוצאתיות, לרבות לגבי הנכס ומסים נדחים.</t>
  </si>
  <si>
    <t>מסים נדחים:</t>
  </si>
  <si>
    <t>שיעור 8ב - המשך סוגיות מורכבות בירידת ערך ומדידת נכסים - מסים על ההכנסה</t>
  </si>
  <si>
    <t>מס ששולם ״מעבר״ (שנים 1-4) - א׳ ש״ח:</t>
  </si>
  <si>
    <t>זיכוי מס (שנים 5-10) - א׳ ש״ח:</t>
  </si>
  <si>
    <t>התפיסה היא שכדי לחסוך את כל התהליך המורכב לעיל כדי להבין את השפעות המס וזיכויי המס הצפויים, עובדים בכל שנה על ההפרש בין ערך הספרים של הנכס לבין ערכו</t>
  </si>
  <si>
    <t xml:space="preserve">תזכורת: הנכס עלה 400 א׳ ש״ח מופחת על פני 4 שנים לחשבונאות, על פני 10 שנים לצורך מס. </t>
  </si>
  <si>
    <t>לטובת אטיאס הקטנה:</t>
  </si>
  <si>
    <t>עילי:</t>
  </si>
  <si>
    <t>שיעור 9 - ירידת ערך נכסים - Impairment Of Assets</t>
  </si>
  <si>
    <t>מטרת המפגש:</t>
  </si>
  <si>
    <t>תרגול נוסף בנושא ירידת ערך נכסים עם שיטות פחת שונות לנכס נשוא ירידת הערך.</t>
  </si>
  <si>
    <t xml:space="preserve">ככל שיותיר הזמן - הצגת בסיס נושא האירועים לאחר מועד הדוחות הכספיים (בכל מקרה, נושא זה יהיה המרכזי </t>
  </si>
  <si>
    <t>במפגש הבא).</t>
  </si>
  <si>
    <t xml:space="preserve">חברת ״גליונה״ בע״מ (להלן: ״החברה״) היא חברה ציבורית הכפופה להנחיות תקני החשבונאות הבינלאומיים - </t>
  </si>
  <si>
    <t xml:space="preserve">קרי ה - IFRS. </t>
  </si>
  <si>
    <t>בתאריך 1 בינואר 2021 רכשה החברה מכונה לחימום נקניקיות לעובדי המשרד בעלות של 400,000 ש״ח.</t>
  </si>
  <si>
    <t>מחקרים מראים שרכישת מכונה כזו משפרת את תפקוד העובדים באופן ניכר, ותורמת להגדלת ההטבות הכלכליות</t>
  </si>
  <si>
    <t>שעובדים אלו מניבים לחברה.</t>
  </si>
  <si>
    <t>יש לציין שסטודנטים מתלוננים שמכונות לחימום נקניקיות מופיעות בתרגילים רבים מדי, יחד עם זאת זה לא משנה</t>
  </si>
  <si>
    <t xml:space="preserve">ובהחלט תוכלו לדמיין שזו מכונית או חללית. העיקרון יישמר זהה, ולצרכים המתודולוגיים שבהם עסקינן, </t>
  </si>
  <si>
    <t>זה מה שחשוב.</t>
  </si>
  <si>
    <t xml:space="preserve">המכונה לחימום נקניקיות מופחתת להערכת החברה בשיטת סכום ספרות השנים (השבר הפוחת) במשך 10 שנים, </t>
  </si>
  <si>
    <t>ללא ערך שייר. לצרכי מס, מופחתת המכונה על פני 7 שנים בשיטת הקו הישר. החברה מיישמת את מודל העלות למדידת</t>
  </si>
  <si>
    <t xml:space="preserve">פריטי רכוש קבוע שבבעלותה. </t>
  </si>
  <si>
    <t xml:space="preserve">רשות המסים איננה מתירה ואיננה מאפשרת הכרה ברווח / הפסד מעליה / ירידת ערך. </t>
  </si>
  <si>
    <t>לקראת סוף שנת 2023 גילתה החברה כי עובד חימם נקניקיה רקובה בתוך המכונה. כתוצאה מכך הצטברו קוליפורמים</t>
  </si>
  <si>
    <t>צואתיים רבים במכונה עצמה, מה שמעיב על היכולת להשתמש בה. להערכת החברה, מדובר בסממן שלילי מובהק</t>
  </si>
  <si>
    <t xml:space="preserve">לגבי היכולת להניב הטבות כלכליות מהמכונה. </t>
  </si>
  <si>
    <t xml:space="preserve">נכון ליום 31.12.2023, מעריכה החברה כי ניתן למכור את המכונה במצבה הנוכחי AS IS בתמורה ל-150,000 ש״ח </t>
  </si>
  <si>
    <t>או לחילופין להמשיך להשתמש בה, כאשר ההטבות הכלכליות הצפויות בכל שנת חיים נותרת שלה הן בסך 30,000 ש״ח</t>
  </si>
  <si>
    <t xml:space="preserve">ומחיר ההון של החברה הוא 10%. על מנת למכור את המכונה יש לשלם עמלת מימוש בשיעור 20%. </t>
  </si>
  <si>
    <t>במהלך שנת 2024 המשיכה החברה לבצע שימוש במכונה. אף עובד לא חלה ולא התאשפז בגין קלקול קיבה בשנה זו.</t>
  </si>
  <si>
    <t>בהתאם, החברה זימנה שמאי שהערך את מחיר המכירה של המכונה במצבה הנוכחי ב-170,000 ש״ח ללא שינוי</t>
  </si>
  <si>
    <t>בשיעור עמלת המימוש. ההטבות הכלכליות הצפויות בכל שנת חיים נותרת למועד זה הן בסך 15,000 ש״ח לשנה.</t>
  </si>
  <si>
    <t xml:space="preserve">במהלך שנת 2025 המשיכה החברה לבצע שימוש במכונה. בעקבות צו איסור מכירת מכונה נקניק שהעבירה </t>
  </si>
  <si>
    <t>הממשלה החדשה, העריכה החברה שוב את ההטבות הכלכליות הצפויות מהמכונה והן בסך 10,000 ש״ח לכל שנת</t>
  </si>
  <si>
    <t>חיים נותרת של המכונה.</t>
  </si>
  <si>
    <t xml:space="preserve">במהלך שנת 2026 בוטלה החקיקה האוסרת מכירת המכונה, ומחיר מכירתה למועד זה הנו 220,000 ש״ח. בנוסף, </t>
  </si>
  <si>
    <t>נכון למועד זה, לא צפויות עלויות מימוש בעסקה. שווי ההטבות הכלכליות הצפויות מהמכונה, במונחים של ערך נוכחי,</t>
  </si>
  <si>
    <t xml:space="preserve">נמוך ממחיר המכירה נטו. </t>
  </si>
  <si>
    <t>החברה כפופה למסים על ההכנסה בשיעור 25% וצופה הכנסה חייבת גבוהה בעתיד הנראה לעין.</t>
  </si>
  <si>
    <t xml:space="preserve">נדרש: חשבו והציגו את כלל היתרות המאזניות והתוצאתיות בגין הפריט עבור השנים 2021-2026. </t>
  </si>
  <si>
    <t>נסח הפתרון - לאט ובטוח</t>
  </si>
  <si>
    <t>אין סממנים לירידת ערך בשנה זו</t>
  </si>
  <si>
    <t xml:space="preserve">לצרכים חשבונאיים - והדיווח - עלות רכישה 400,000, הפחתה על פני 10 שנים בסכום ספרות שנים, ללא גרט / שייר. </t>
  </si>
  <si>
    <t xml:space="preserve">שימו לב, אמנם נרשם שהפחת לצורך מס מבוסס על 7 שנים בשיטת הקו הישר, אך בתור התחלה, הדיווח והחישוב </t>
  </si>
  <si>
    <t xml:space="preserve">יתבסס על נתוני ההפחתה החשבונאיים בלבד. בנתון ההפחתה לצורך מס נשתמש רק בשלב ייחוס המסים. </t>
  </si>
  <si>
    <t>שיטת סכום ספרות השנים:</t>
  </si>
  <si>
    <t>אורך חיים</t>
  </si>
  <si>
    <t xml:space="preserve">n = </t>
  </si>
  <si>
    <t>סכום ספרות:</t>
  </si>
  <si>
    <t xml:space="preserve">10 * 11 / 2 = </t>
  </si>
  <si>
    <t xml:space="preserve">n * (n + 1) / 2 = </t>
  </si>
  <si>
    <t>אופן יישום ההפחתה - חישוב הוצאות הפחת 2021:</t>
  </si>
  <si>
    <t xml:space="preserve">(400,000 - 0) * (10 / 55) = </t>
  </si>
  <si>
    <t>תזכורת לגבי סכום ספרות יורד - והקצאת ספרה לכל שנה בסדר יורד:</t>
  </si>
  <si>
    <t>רכישה</t>
  </si>
  <si>
    <t>כאשר: 400,000 זוהי העלות, 0 - זהו ערך השייר / הגרט, 10: השנה הראשונה שמקצים בסכום ספרות יורד (זהה</t>
  </si>
  <si>
    <t xml:space="preserve">לאורך החיים, בשנים הבאות נקצה 9, 8 וכו׳), ו-55 הוא סכום הספרות. </t>
  </si>
  <si>
    <t>ספרים / חשבונאות:</t>
  </si>
  <si>
    <t>פחנ״צ</t>
  </si>
  <si>
    <t>נכס מ״נ (ראו חישוב מטה)</t>
  </si>
  <si>
    <t>התחייבות למ״נ</t>
  </si>
  <si>
    <t>כדי לבחון את השפעות המס, עלינו להתרכז באופן מדידת הנכס לצרכי מס:</t>
  </si>
  <si>
    <t>ללא שייר</t>
  </si>
  <si>
    <t>תקופת הפחתה</t>
  </si>
  <si>
    <t>שנים</t>
  </si>
  <si>
    <t>שיטת הפחתה</t>
  </si>
  <si>
    <t>ערך הספרים לצורך מס:</t>
  </si>
  <si>
    <t xml:space="preserve">(400,000 - 0)/7 = </t>
  </si>
  <si>
    <t>בסיס המס של הנכס</t>
  </si>
  <si>
    <t>1.1.2021</t>
  </si>
  <si>
    <t>31.12.2021</t>
  </si>
  <si>
    <t>ה״ז</t>
  </si>
  <si>
    <t>ה״ז נ״ל</t>
  </si>
  <si>
    <t>נכס מ״נ</t>
  </si>
  <si>
    <t>הרחבה: איך יודעים שמדובר בה״ז נ״ל (הפרש זמני ניתן לניכוי) שיוצר נכס מס נדחה?</t>
  </si>
  <si>
    <t>חשוב להבין: כאשר מדובר בנכס, העובדה שערכו בספרים ירד במידה ניכרת (מ-400,000 ל- 327,273) משקפת הוצאות</t>
  </si>
  <si>
    <r>
      <t xml:space="preserve">פחת גבוהות יחסית (כ-72 אלפי ש״ח). </t>
    </r>
    <r>
      <rPr>
        <b/>
        <sz val="12"/>
        <color theme="1"/>
        <rFont val="David"/>
        <family val="2"/>
        <charset val="177"/>
      </rPr>
      <t>אם</t>
    </r>
    <r>
      <rPr>
        <sz val="12"/>
        <color theme="1"/>
        <rFont val="David"/>
        <family val="2"/>
        <charset val="177"/>
      </rPr>
      <t xml:space="preserve"> לא היו פערים בין החשבונאות לרשות המסים, היינו מצפים שגם עבור</t>
    </r>
  </si>
  <si>
    <t>רשות המסים ערך הנכס נטו היה זהה, ובהתאם, הוצאות הפחת היו זהות.</t>
  </si>
  <si>
    <t>עובדתית, רשות המסים לא איפשרה להפחית / להקטין את ערך הנכס בסכום כה משמעותי, אלא בסכום נמוך הרבה</t>
  </si>
  <si>
    <t>יותר, שמשקף קיטון בבסיס המס מ-400,000 ל-342,857. קיטון זה מהווה את ההוצאה לצורך מס (כ-57 אלפי ש״ח).</t>
  </si>
  <si>
    <t>כלומר, רשות המסים מכירה בהוצאות בהיקף נמוך יותר, כתוצאה מכך משלמים מס גבוה יותר בהווה, אך בעתיד</t>
  </si>
  <si>
    <t>כאשר ההוצאה הנוספת תוכר (והיא בהכרח תוכר - כי רשות המסים מפחיתה את כל הנכס לאורך זמן), ההפרש</t>
  </si>
  <si>
    <t>יתהפך ונהנה מהטבת מס, שאנו מכירים בה כבר היום, ולכן - נכס מס נדחה.</t>
  </si>
  <si>
    <t>במקרה הקלאסי:</t>
  </si>
  <si>
    <t>הפרש חיובי בין בסיס המס של נכס לבין ערכו בספרים = הפרש זמני ניתן לניכוי = נכס מס נדחה &gt;&gt;&gt; אנחנו כאן.</t>
  </si>
  <si>
    <t>הפרש שלילי בין בסיס המס של נכס לבין ערכו בספרים = הפרש זמני חייב במס = התחייבות למס נדחה.</t>
  </si>
  <si>
    <r>
      <t xml:space="preserve">בעיקרון, </t>
    </r>
    <r>
      <rPr>
        <u/>
        <sz val="12"/>
        <color theme="1"/>
        <rFont val="David"/>
        <family val="2"/>
        <charset val="177"/>
      </rPr>
      <t>במפגש הקודם</t>
    </r>
    <r>
      <rPr>
        <sz val="12"/>
        <color theme="1"/>
        <rFont val="David"/>
        <family val="2"/>
        <charset val="177"/>
      </rPr>
      <t xml:space="preserve"> הצגנו בגין השפעות מס אלו את הפקודה:</t>
    </r>
  </si>
  <si>
    <t>ח׳ נכס מס נדחה 3,896</t>
  </si>
  <si>
    <t>ז׳ הוצאות מס נדחה 3,896</t>
  </si>
  <si>
    <t>כאשר מציגים יתרות מרוכזות, כדי לא לבלבל אתכם עם ערכים ״שליליים״ של הוצאה, אני רושם זאת כהכנסות מס.</t>
  </si>
  <si>
    <t>הוצ׳ פחת - 2022:</t>
  </si>
  <si>
    <t xml:space="preserve">400,000 * 9/55 = </t>
  </si>
  <si>
    <t>סכום הספרות</t>
  </si>
  <si>
    <t>עלות בניכוי גרט 0</t>
  </si>
  <si>
    <t>הת׳ למ״נ</t>
  </si>
  <si>
    <t>הספרה 9, שנת הפחתה שנייה</t>
  </si>
  <si>
    <t xml:space="preserve">400,000/7 * 2= </t>
  </si>
  <si>
    <t xml:space="preserve">400,000 * 5/7 = </t>
  </si>
  <si>
    <t>31.12.2022</t>
  </si>
  <si>
    <t>ה״ז נ״ל:</t>
  </si>
  <si>
    <t>נכס מ״נ:</t>
  </si>
  <si>
    <t>גידול בנכס מ״נ</t>
  </si>
  <si>
    <t xml:space="preserve">5,974 - 3,896 = </t>
  </si>
  <si>
    <t>ז׳ הוצ׳ מס נדחה / הכנסות מס נדחה</t>
  </si>
  <si>
    <t>שנת 2023:</t>
  </si>
  <si>
    <t>יש סממנים לירידת ערך</t>
  </si>
  <si>
    <t>שאלה שעלתה בדיון כיתתי קשורה למהות קיום הסממן הפוטנציאלי לירידת ערך. מבחינתנו, כל נתון שהוא שניתן</t>
  </si>
  <si>
    <t>לפרש פוטנציאלית ככזה שיש לו השפעה שלילית על ההטבות הצפויות מהפריט, הוא סממן בהגדרה, והוא מוביל ליישום</t>
  </si>
  <si>
    <t xml:space="preserve">מכלול התהליך המתבקש במסגרת IAS 36. </t>
  </si>
  <si>
    <t>תחילה - נחשב הוצאות פחת ״כרגיל״ לשנת 2023:</t>
  </si>
  <si>
    <t xml:space="preserve">400,000 * 8/55 = </t>
  </si>
  <si>
    <t>בהינתן סממנים לירידת ערך, נחשב את הסכום בר ההשבה (סב״ה) הגבוה מבין שווי הוגן בניכוי עלויות מכירה</t>
  </si>
  <si>
    <t>לבין שווי שימוש נטו (תזרימים עתידיים מהוונים במחיר ההון):</t>
  </si>
  <si>
    <t>שווי הוגן בניכוי ע. מכירה - על פי נתוני השאלה:</t>
  </si>
  <si>
    <t>כנתון - תמורת מכירה</t>
  </si>
  <si>
    <t>בניכוי עלויות מכירה:</t>
  </si>
  <si>
    <t xml:space="preserve">20% * 150,000 = </t>
  </si>
  <si>
    <t>נתון: עלויות מכירה הן 20% מהתמורה</t>
  </si>
  <si>
    <t>שווי הוגן בניכוי ע. מכירה:</t>
  </si>
  <si>
    <t>נחשב כעת שווי שימוש נטו:</t>
  </si>
  <si>
    <t>כל שנה - תזרים נטו:</t>
  </si>
  <si>
    <t>שנות חיים שנותרו:</t>
  </si>
  <si>
    <t xml:space="preserve">10 - 3 = </t>
  </si>
  <si>
    <t>אנו בתום 2023, חלפו 3 שנים מתוך 10</t>
  </si>
  <si>
    <t>מחיר ההון:</t>
  </si>
  <si>
    <t>ערך נוכחי:</t>
  </si>
  <si>
    <t>אופן חישוב שווי מימוש נטו pv פורמט מלא:</t>
  </si>
  <si>
    <r>
      <t xml:space="preserve">סב״ה - הגבוה מבין </t>
    </r>
    <r>
      <rPr>
        <sz val="12"/>
        <color rgb="FF00B050"/>
        <rFont val="David"/>
        <family val="2"/>
        <charset val="177"/>
      </rPr>
      <t>שווי שימוש נטו</t>
    </r>
    <r>
      <rPr>
        <sz val="12"/>
        <color theme="1"/>
        <rFont val="David"/>
        <family val="2"/>
        <charset val="177"/>
      </rPr>
      <t xml:space="preserve"> לבין </t>
    </r>
    <r>
      <rPr>
        <sz val="12"/>
        <color rgb="FFFF0000"/>
        <rFont val="David"/>
        <family val="2"/>
        <charset val="177"/>
      </rPr>
      <t>שווי הוגן בניכוי ע. מכירה:</t>
    </r>
  </si>
  <si>
    <t>ערך ספרים טרם בדיקה:</t>
  </si>
  <si>
    <t>ירידת ערך:</t>
  </si>
  <si>
    <t>31.12.2023</t>
  </si>
  <si>
    <t xml:space="preserve">400,000 - (400,000 / 7) * 3 = </t>
  </si>
  <si>
    <t>גידול / עלייה בנכס מס נדחה</t>
  </si>
  <si>
    <t>שנת 2024:</t>
  </si>
  <si>
    <t>בתור התחלה, נבצע מדידה שוטפת (לפני בדיקת עליית הערך ככל שחלה). זכרו, כי הואיל ובשנת 2023 בוצעה</t>
  </si>
  <si>
    <t xml:space="preserve">הפרשה לירידת ערך, הוצאות הפחת תתבססנה על ערך הספרים העדכני לאחר הירידה, ועל יתרת אורך החיים </t>
  </si>
  <si>
    <t>למועד הירידה.</t>
  </si>
  <si>
    <t>כאשר יש צורך לבצע הפחתה של פריט לאחר שינוי מהותי שחל בו (כגון: השבחה, שינוי בשווי בעקבות הערכה מחדש,</t>
  </si>
  <si>
    <t>ירידת ערך לפי IAS 36, שינוי אומדן וכיו״ב), והשיטה המיושמת לצורך הפחתה היא סכום ספרות השנים, יש לחשב</t>
  </si>
  <si>
    <t>סכום ספרות חדש, ולהקצות את הספרות מחדש.</t>
  </si>
  <si>
    <t>שנים שנותרו להפחתה לאחר השינוי ב-31/12/2023:</t>
  </si>
  <si>
    <t xml:space="preserve">n* = n - שנים שחלפו = </t>
  </si>
  <si>
    <t>סכום ספרות חדש:</t>
  </si>
  <si>
    <t xml:space="preserve">7 * 8 / 2 = </t>
  </si>
  <si>
    <t xml:space="preserve">n* x (n* + 1)/2 = </t>
  </si>
  <si>
    <t>הוצאות פחת השנה - 2024:</t>
  </si>
  <si>
    <t xml:space="preserve">146,053 * 7 / 28 = </t>
  </si>
  <si>
    <t>ירידת ערך</t>
  </si>
  <si>
    <t>סכום ספרות חדש</t>
  </si>
  <si>
    <t>גם את ההפחתה של ההפרשה לי״ע נבצע באופן דומה:</t>
  </si>
  <si>
    <t xml:space="preserve">57,584 * 7 / 28 = </t>
  </si>
  <si>
    <t>יתרת הפחת הנצבר לתום 2024 מורכבת מהערכים הבאים:</t>
  </si>
  <si>
    <t>יתרת פתיחה פחת נצבר 31.12.2023</t>
  </si>
  <si>
    <t>הוצאות פחת 2024</t>
  </si>
  <si>
    <t>הפחתת הפרשה לי״ע 2024</t>
  </si>
  <si>
    <t>יתרת סגירה פחת נצבר 31.12.2024</t>
  </si>
  <si>
    <t>כעת, לאור הסממן החיובי (ממשיכים לאכול נקניק בטירוף ללא קלקול קיבה והשפעות בריאותיות):</t>
  </si>
  <si>
    <t>שווי הוגן בניכוי עלויות מכירה בשיעור 20%:</t>
  </si>
  <si>
    <t xml:space="preserve">170,000 * (1 - 20%) = </t>
  </si>
  <si>
    <t>לצורך חישוב שווי שימוש נטו, ניעזר בנתונים הבאים:</t>
  </si>
  <si>
    <t>תמורת מכירה צפויה נתונה</t>
  </si>
  <si>
    <t>תזרים שנתי צפוי:</t>
  </si>
  <si>
    <t>שיעור עמלת מימוש זהה לשנה קודמת: 20%</t>
  </si>
  <si>
    <t>יתרת חיים נכון למועד החישוב:</t>
  </si>
  <si>
    <t xml:space="preserve">10 - 4 = </t>
  </si>
  <si>
    <t>מחיר הון:</t>
  </si>
  <si>
    <t>הסכום בר ההשבה הוא הגבוה מבין שווי הוגן בניכוי עלויות. מכירה לבין שווי שימוש נטו:</t>
  </si>
  <si>
    <t>ערך הספרים לפני הבדיקה:</t>
  </si>
  <si>
    <t>עליית ערך כלכלית:</t>
  </si>
  <si>
    <t>יתרת הפרשה לירידת ערך ערב העלייה:</t>
  </si>
  <si>
    <t xml:space="preserve">הואיל ועליית הערך 26,461 נמוכה מיתרת ההפרשה 43,188 (יתרת ההפרשה היא התקרה להכרה בעלייה) נוכל להכיר בכל עליית </t>
  </si>
  <si>
    <t>הערך כהכנסה ברווח והפסד כנגד הקטנת ההפרשה לירידת ערך:</t>
  </si>
  <si>
    <t>ז׳ רווח מעליית ערך</t>
  </si>
  <si>
    <t>יתרת ההפרשה לירידת ערך ליום 31.12.2024:</t>
  </si>
  <si>
    <t>יתרת הפרשה 31.12.2023</t>
  </si>
  <si>
    <t>הפחתת הפרשה 2024</t>
  </si>
  <si>
    <t>רווח מעליית ערך 2024</t>
  </si>
  <si>
    <t>יתרת הפרשה 31.12.2024</t>
  </si>
  <si>
    <t>31.12.2024</t>
  </si>
  <si>
    <t xml:space="preserve">400,000 * 3/7 = </t>
  </si>
  <si>
    <t>קיטון בנכס המס הנדחה: ״מימוש נכס מס נדחה״</t>
  </si>
  <si>
    <t>לפי ההפרש</t>
  </si>
  <si>
    <t>שנת 2025:</t>
  </si>
  <si>
    <t xml:space="preserve">במהלך שנת 2025 המשיכה החברה לבצע שימוש במכונה. בעקבות צו איסור מכירה של מכונות נקניק שהעבירה </t>
  </si>
  <si>
    <t>תחילה, טרם הבדיקה של הצורך בביצוע הפרשה נוספת לירידת ערך (לאור החוק האוסר מכירה), נבצע חישוב פחת כרגיל.</t>
  </si>
  <si>
    <t>שנות חיים שנותרו לתחילת 2025:</t>
  </si>
  <si>
    <t>2021, 2022, 2023, 2024 ---&gt;</t>
  </si>
  <si>
    <t>חל שינוי בסוף 2024, סכום ספרות חדש:</t>
  </si>
  <si>
    <t xml:space="preserve">6 * 7 / 2  = </t>
  </si>
  <si>
    <t>הוצאות פחת 2025:</t>
  </si>
  <si>
    <t xml:space="preserve">136,000 * 6 / 21 = </t>
  </si>
  <si>
    <t xml:space="preserve">הסבר: הוצאות הפחת ב-2025 חושבו לפי יתרת הנכס לתום 2024, כפול היחס בין הספרה החדשה (6) לסכום ספרות חדש (21). </t>
  </si>
  <si>
    <t>בנוסף, נפחית גם את יתרת ההפרשה לירידת ערך בקצב הפחת:</t>
  </si>
  <si>
    <r>
      <t xml:space="preserve">יתרת ההפרשה לי״ע </t>
    </r>
    <r>
      <rPr>
        <u/>
        <sz val="12"/>
        <color theme="1"/>
        <rFont val="David"/>
        <family val="2"/>
        <charset val="177"/>
      </rPr>
      <t>לתחילת</t>
    </r>
    <r>
      <rPr>
        <sz val="12"/>
        <color theme="1"/>
        <rFont val="David"/>
        <family val="2"/>
        <charset val="177"/>
      </rPr>
      <t xml:space="preserve"> 2025:</t>
    </r>
  </si>
  <si>
    <t>הפחתת הפרשה 2025:</t>
  </si>
  <si>
    <t xml:space="preserve">16,727 * 6 / 21 = </t>
  </si>
  <si>
    <t>יתרת הפרשה לפני בדיקה נוספת:</t>
  </si>
  <si>
    <t>פחת נצבר:</t>
  </si>
  <si>
    <t>לתחילת 2025</t>
  </si>
  <si>
    <t>הוצ׳ פחת 2025</t>
  </si>
  <si>
    <t>הפחתת הפרשה 2025</t>
  </si>
  <si>
    <t>פחנ״צ לפני בדיקה נוספת</t>
  </si>
  <si>
    <t xml:space="preserve">הכוונה: לפני בדיקה נוספת של ירידת ערך </t>
  </si>
  <si>
    <t>הואיל ונאסר על מכירת המכונה, אין משמעות לחשב שווי בניכוי עלויות מכירה.</t>
  </si>
  <si>
    <t>כן נחשב שווי שימוש נטו בהתאם לנתונים המעודכנים בסעיף נכון לתום 2025:</t>
  </si>
  <si>
    <t>יתרת אורך חיים לתום שנת 2025:</t>
  </si>
  <si>
    <t xml:space="preserve">10 - 5 = </t>
  </si>
  <si>
    <t>תזרים צפוי שנתי:</t>
  </si>
  <si>
    <t>שווי שימוש נטו - פונקציית PV:</t>
  </si>
  <si>
    <t xml:space="preserve">שהוא גם סב״ה, כי אין אפשרות למכור. </t>
  </si>
  <si>
    <t>ערך ספרים לפני בדיקת י״ע נוספת:</t>
  </si>
  <si>
    <t xml:space="preserve">89,974 - 37,908 = </t>
  </si>
  <si>
    <t>31.12.2025</t>
  </si>
  <si>
    <t xml:space="preserve">(400,000 / 7) * 2 = </t>
  </si>
  <si>
    <t>פקודת היומן להגדלת נכס המס הנדחה בסכום ההפרש: נכס מ״נ יתרת סגירה ונכס מ״נ י״פ.</t>
  </si>
  <si>
    <t>ז׳ הכנסות מ״נ/הוצ׳ מ״נ</t>
  </si>
  <si>
    <t>שנת 2026:</t>
  </si>
  <si>
    <t>עליית ערך עם תקרה</t>
  </si>
  <si>
    <r>
      <t xml:space="preserve">נתחיל מחישוב </t>
    </r>
    <r>
      <rPr>
        <u/>
        <sz val="12"/>
        <color theme="1"/>
        <rFont val="David"/>
        <family val="2"/>
        <charset val="177"/>
      </rPr>
      <t>הוצאות הפחת לשנת 2026</t>
    </r>
    <r>
      <rPr>
        <sz val="12"/>
        <color theme="1"/>
        <rFont val="David"/>
        <family val="2"/>
        <charset val="177"/>
      </rPr>
      <t>, אשר נשענות על היתרה בספרים למועד השינוי האחרון - 31.12.2025, ויתרת החיים</t>
    </r>
  </si>
  <si>
    <t>למועד השינוי האחרון - 31.12.2025:</t>
  </si>
  <si>
    <t>נכון לתום 2025/תחילת 2026, ערך הספרים:</t>
  </si>
  <si>
    <t>יתרת תקופת הפחתה - בשנים:</t>
  </si>
  <si>
    <t xml:space="preserve">5 * 6 / 2 = </t>
  </si>
  <si>
    <t>הוצ׳ פחת:</t>
  </si>
  <si>
    <t xml:space="preserve">37,908 * 5 / 15 = </t>
  </si>
  <si>
    <t>ערך ספרים אחרון, כפול היחס בין ספרה לסכום ספרות</t>
  </si>
  <si>
    <r>
      <t xml:space="preserve">בנוסף, נבצע הפחתה של </t>
    </r>
    <r>
      <rPr>
        <u/>
        <sz val="12"/>
        <color theme="1"/>
        <rFont val="David"/>
        <family val="2"/>
        <charset val="177"/>
      </rPr>
      <t>יתרת ההפרשה</t>
    </r>
    <r>
      <rPr>
        <sz val="12"/>
        <color theme="1"/>
        <rFont val="David"/>
        <family val="2"/>
        <charset val="177"/>
      </rPr>
      <t xml:space="preserve"> לירידת ערך בקצב הפחת:</t>
    </r>
  </si>
  <si>
    <t>הפחתת הפרשה:</t>
  </si>
  <si>
    <t xml:space="preserve">64,014 * 5 / 15 = </t>
  </si>
  <si>
    <t>יתרת הפרשה:</t>
  </si>
  <si>
    <t xml:space="preserve">64,014 - 21,338 = </t>
  </si>
  <si>
    <t>יתרת פחת נצבר לפני בדיקה נוספת:</t>
  </si>
  <si>
    <t>יתרת פתיחה:</t>
  </si>
  <si>
    <t>הוצאות פחת:</t>
  </si>
  <si>
    <t>יתרת סגירה פחנ״צ:</t>
  </si>
  <si>
    <t>כדי לחשב את הסכום בר ההשבה:</t>
  </si>
  <si>
    <t>מחיר מכירה בניכוי עלויות מכירה:</t>
  </si>
  <si>
    <t>נתון בשאלה שזה מחיר המכירה ואין עלויות מכירה</t>
  </si>
  <si>
    <t>אין נתונים, אך ידוע (בשאלה) שהוא נמוך יותר.</t>
  </si>
  <si>
    <t>לכן סב״ה - הגבוה מביניהם:</t>
  </si>
  <si>
    <t>ערך ספרים עדכני</t>
  </si>
  <si>
    <t xml:space="preserve">220,000 - 25,272 = </t>
  </si>
  <si>
    <t>יתרת הפרשה לירידת ערך למועד זה:</t>
  </si>
  <si>
    <t>נוכל להכיר ברווח מעליית ערך לכל היותר עד לסכום ההפרשה:</t>
  </si>
  <si>
    <t>31.12.2026</t>
  </si>
  <si>
    <t xml:space="preserve">(400,000 / 7) * 1 = </t>
  </si>
  <si>
    <t>ה״ז ח״ב</t>
  </si>
  <si>
    <t>מדוע בשנת 2026 נוצר הפרש זמני חייב במס? מה בכלל זה אומר?</t>
  </si>
  <si>
    <t>רשות המסים איפשרה להפחית את הנכס בהיקף מאד משמעותי, עד 57,143 ש״ח.</t>
  </si>
  <si>
    <t>החשבונאות לעומת זאת רשמה השנה רווח גבוה מעליית ערך, מה שהוביל להצגת הנכס בסכום גבוה</t>
  </si>
  <si>
    <t>יותר של 67,948 ש״ח.</t>
  </si>
  <si>
    <t xml:space="preserve">המשמעות היא שבחשבונאות נרשם רווח שרשות המסים לא ממסה. </t>
  </si>
  <si>
    <t xml:space="preserve">בעתיד - ההפרש יתהפך, ונצטרך לשלם מס בעד עלייה זו. </t>
  </si>
  <si>
    <t>ה״ז ח״ב = הפרש זמני חייב במס.</t>
  </si>
  <si>
    <t xml:space="preserve">הת׳ למ״נ = התחייבות למסים נדחים. </t>
  </si>
  <si>
    <t>ח׳ הוצ׳ מ״נ</t>
  </si>
  <si>
    <t>ז׳ התחייבות למסים נדחים</t>
  </si>
  <si>
    <t>עילי הנקניק 29/5/2025</t>
  </si>
  <si>
    <t>הוצ׳ פחת</t>
  </si>
  <si>
    <t>הפסד לי״ע</t>
  </si>
  <si>
    <t>הכנסות מ״נ</t>
  </si>
  <si>
    <t>הוצאות מ״נ</t>
  </si>
  <si>
    <t>התח׳ מ״נ</t>
  </si>
  <si>
    <t>נייר עזר:</t>
  </si>
  <si>
    <t>ה״ז ניתן לניכוי</t>
  </si>
  <si>
    <t xml:space="preserve">טעות! צ״ל כאן 4,779. זה משפיע על הנגררות בהמשך. דרך הפתרון תקינה בגדול אבל היתה כאן השמטה. </t>
  </si>
  <si>
    <t>מטרות המפגש:</t>
  </si>
  <si>
    <t>א. תרגול נוסף כולל הסבר הדרגתי ומעמיק לגבי הפרשי פחת / שיטות פחת שונות / ירידת ערך נכסים - כולל היבט</t>
  </si>
  <si>
    <t xml:space="preserve">המסים על ההכנסה. </t>
  </si>
  <si>
    <t>ב. סיכום בסיסי של הסוגיות העיקריות שנדונו בקורס לגבי רכוש קבוע, ודיון קצרצר במבנה הבחינה.</t>
  </si>
  <si>
    <t xml:space="preserve">ג. היערכות לבאות - מה עוד נותר וסיומת. </t>
  </si>
  <si>
    <t>תרגיל בנושא ירידת ערך נכסים, מסים ושיטות פחת</t>
  </si>
  <si>
    <t>חברת ״הנקניקים של שלומי״ בע״מ היא חברה מסחרית שניירות הערך שלה נסחרים בבורסה לניירות ערך בתל אביב.</t>
  </si>
  <si>
    <t>החברה כפופה לתקני ה - IFRS - ובפרט, ל-IAS 16 בדבר רכוש קבוע, ל-IAS 36 בדבר ירידת ערך נכסים ול-IAS 12</t>
  </si>
  <si>
    <t xml:space="preserve">בדבר מסים על ההכנסה. </t>
  </si>
  <si>
    <t>להלן נתונים לגבי מכונת נקניק שרכשה החברה בשנת 2020:</t>
  </si>
  <si>
    <t xml:space="preserve">א. המכונה נרכשה ב-1.1.2020. </t>
  </si>
  <si>
    <t>ב. עלות המכונה - 500,000 ש״ח.</t>
  </si>
  <si>
    <t>ג. אורך החיים השימושיים הצפוי למכונה: 15 שנים.</t>
  </si>
  <si>
    <t>ד. ערך השייר / הגרט הצפוי למכונה: 50,000 ש״ח.</t>
  </si>
  <si>
    <t xml:space="preserve">ה. החברה מודדת את מכונת הנקניק לפי בסיס העלות, ומיישמת הפחתה בשיטת סכום ספרות השנים היורד. </t>
  </si>
  <si>
    <t>ו. רשות המסים - בהתאם לתקנות מס הכנסה (ניכויים בשל פחת) מודדת גם היא את הפריט לפי אותם פרמטרים,</t>
  </si>
  <si>
    <t xml:space="preserve">אך מפחיתה בשיטת הקו הישר. כמו כן, רשות המסים איננה מכירה ברווחים / הפסדים הנובעים מירידת ערך </t>
  </si>
  <si>
    <t xml:space="preserve">ו/או עליית ערך. </t>
  </si>
  <si>
    <t>ז. החברה כפופה לשיעור מס חברות בשיעור 23% שצפוי להישאר קבוע. כמו כן החברה רווחית וצופה הכנסה חייבת</t>
  </si>
  <si>
    <t xml:space="preserve">בעתיד. </t>
  </si>
  <si>
    <t>אחרי השינוי</t>
  </si>
  <si>
    <t>נתונים לשנים העוקבות:</t>
  </si>
  <si>
    <t>ח. ב-31.12.2021 יגאל הפיל גללים של סוס על המכונה. כתוצאה מכך, התעורר בחברה חשד שנפגע תפקוד המכונה</t>
  </si>
  <si>
    <t xml:space="preserve">ואיכות התפוקה שהיא מסוגלת לספק. </t>
  </si>
  <si>
    <t>ט. ב-31.12.2022 מעריכה החברה את יתרת אורך החיים של הפריט ב-10 שנים החל מאותו המועד, ללא שינוי</t>
  </si>
  <si>
    <t>בערך השייר ו/או שיטת ההפחתה.</t>
  </si>
  <si>
    <t xml:space="preserve">י. ב-30.6.2025 נמכרה המכונה כאשר בעסקת המכירה נוצר רווח הון בסך 3,000 ש״ח. </t>
  </si>
  <si>
    <t xml:space="preserve">נתונים רלוונטיים </t>
  </si>
  <si>
    <t>החל מהמועד שבו העריכה החברה שייתכן וחלה ירידה בשווי המכונה, היא ביצעה חישוב של סכום בר השבה</t>
  </si>
  <si>
    <t xml:space="preserve">בכל שנה מחדש. </t>
  </si>
  <si>
    <t>רווח הון</t>
  </si>
  <si>
    <t>להלן נתונים רלוונטיים המסייעים בכך. לתשומת הלב, נתוני התזרים התפעולי להלן אינם מתחשבים</t>
  </si>
  <si>
    <t>בערך השייר כתזרים נוסף בתום תקופת החיים של המכונה.</t>
  </si>
  <si>
    <t>אנחנו מחשבים</t>
  </si>
  <si>
    <t>הכנ׳ מס נדחה</t>
  </si>
  <si>
    <t>תזרים שנתי</t>
  </si>
  <si>
    <t>עלויות</t>
  </si>
  <si>
    <t xml:space="preserve">שיעור </t>
  </si>
  <si>
    <t xml:space="preserve">הגבוה </t>
  </si>
  <si>
    <t>הוצ׳ מס נדחה</t>
  </si>
  <si>
    <t>תפעולי צפוי</t>
  </si>
  <si>
    <t>משוער</t>
  </si>
  <si>
    <t>מכירה (%)</t>
  </si>
  <si>
    <t>היוון שנתי</t>
  </si>
  <si>
    <t>נטו</t>
  </si>
  <si>
    <t>בניכוי ע. מ.</t>
  </si>
  <si>
    <t>לא רלוונטי אין חשש לירידת ערך</t>
  </si>
  <si>
    <t xml:space="preserve">נדרש: חשבו והציגו את כל היתרות המאזניות והתוצאתיות לכל אחת מהשנים 2020-2025. </t>
  </si>
  <si>
    <t>לצרכים חשבונאיים (מסים יטופלו בהמשך) - ההפחתה היא בשיטת סכום ספרות השנים היורד.</t>
  </si>
  <si>
    <t>טיפול במסים על ההכנסה:</t>
  </si>
  <si>
    <t>שלביה הם:</t>
  </si>
  <si>
    <t>הטיפול במסים על ההכנסה דורש לחשב את ערך הספרים של הנכס בתום כל תקופה (בוצע)</t>
  </si>
  <si>
    <t>חישוב סכום ספרות השנים</t>
  </si>
  <si>
    <t>וכן את אופן מדידתו לצרכי מס (פשוט יחסית - משום שהמדידה לפי קו ישר, בהתעלמות</t>
  </si>
  <si>
    <t>אורך החיים (בשנים)</t>
  </si>
  <si>
    <t xml:space="preserve">משינויים בשווי ובאורך החיים). רשות המסים מפחיתה לפי קו ישר, 15 שנה, שייר: 50,000. </t>
  </si>
  <si>
    <t>הערך שייוחס לשנת החיים 2020</t>
  </si>
  <si>
    <t>הערך שייוחס לשנת החיים 2021</t>
  </si>
  <si>
    <t xml:space="preserve">n - 1 = </t>
  </si>
  <si>
    <t>הוצאות פחת 2020:</t>
  </si>
  <si>
    <t>(500,000 - 50,000) * 15/120 =</t>
  </si>
  <si>
    <t>הוצאות פחת 2021:</t>
  </si>
  <si>
    <t>(500,000 - 50,000) * 14/120 =</t>
  </si>
  <si>
    <t>ה״ז ניתן לניכ׳</t>
  </si>
  <si>
    <t xml:space="preserve">שימו לב - בשאלה זו אין פירוט של ההכנסות וההוצאות בכל שנה, יש תזרים תפעולי שנתי, </t>
  </si>
  <si>
    <t xml:space="preserve">שבתום כל שנה החברה מערכיה שייוצר מנקודה זו עד לתום החיים השימושיים. </t>
  </si>
  <si>
    <t>בשנת 2022 - לשם חישוב הוצאות הפחת ״לפני שינוי אורך החיים והסב״ה״ נתבסס על ערך</t>
  </si>
  <si>
    <t>הספרים למועד השינוי האחרון 31/12/2021 בתור ״עלות חדשה להפחתה״ ונחשב גם סכום</t>
  </si>
  <si>
    <t>ספרות חדש (והקצאת ספרות חדשה) החל מאותו המועד:</t>
  </si>
  <si>
    <t>נכון לתום 2021:</t>
  </si>
  <si>
    <t>סכום ספרות השנים:</t>
  </si>
  <si>
    <t xml:space="preserve">n * (n + 1) / 2 = 13 * 14 / 2 = </t>
  </si>
  <si>
    <t>הערך שמיוחס לשנת החיים 2022</t>
  </si>
  <si>
    <t>(329,528  - 50,000) * 13/91 =</t>
  </si>
  <si>
    <t>שימו לב, שלא ניתן להמשיך בהקצאת העלות החדשה לפי סכום הספרות הקודם; מדוע?</t>
  </si>
  <si>
    <t>משום שמדובר בנכס ״חדש״ (עבר שינוי מהותי בעקבות ירידת הערך). יתירה מכך, אם</t>
  </si>
  <si>
    <t xml:space="preserve">נמשיך להקצות לפי הספרות הישנות - לא נפחית את כל הנכס. </t>
  </si>
  <si>
    <t>בשנת 2022, נגדיל את הפחת הנצבר בשני ערכים:</t>
  </si>
  <si>
    <t>הפחתת ההפרשה</t>
  </si>
  <si>
    <t xml:space="preserve">61,652 * 13/91 = </t>
  </si>
  <si>
    <t>סך העלייה בפחת הנצבר</t>
  </si>
  <si>
    <t>אז בעצם: כאשר שיטת ההפחתה המיושמת היא סכום הספרות, מעבר לחישוב סכום</t>
  </si>
  <si>
    <t xml:space="preserve">ספרות חדש והקצאת ספרות חדשה, הסכום החדש והספרות החדשות הן בסיס לכל </t>
  </si>
  <si>
    <t>חישובי ההמשך - גם הוצאות פחת וגם הפחתת ההפרשה.</t>
  </si>
  <si>
    <t>נכון לתום 2022:</t>
  </si>
  <si>
    <t xml:space="preserve">נתון בנתוני השאלה הספציפיים שהחל מ-31/12/2022 יתרת החיים היא 10 שנים. </t>
  </si>
  <si>
    <t>לכן, נחשב סכום ספרות מחדש בהתבסס על ערך זה:</t>
  </si>
  <si>
    <t xml:space="preserve">n * (n + 1) / 2 = 10 * 11 / 2 = </t>
  </si>
  <si>
    <t>הספרה לשנת 2023:</t>
  </si>
  <si>
    <t>הוצאות פחת - 2023:</t>
  </si>
  <si>
    <t>(252,000 - 50,000) * 10 / 55 =</t>
  </si>
  <si>
    <t>בשנת 2023 נגדיל את הפחת הנצבר בשני ערכים:</t>
  </si>
  <si>
    <t xml:space="preserve">90,510 * 10/55 = </t>
  </si>
  <si>
    <t>הוצאות פחת 2024:</t>
  </si>
  <si>
    <t>יתרת חיים לתום 2023:</t>
  </si>
  <si>
    <t>סכום ספרות לתום 2023:</t>
  </si>
  <si>
    <t xml:space="preserve">n * (n + 1)/2 = 9 * 10 / 2 = </t>
  </si>
  <si>
    <t>ספרה ל-2024:</t>
  </si>
  <si>
    <t>הוצאות פחת - 2024:</t>
  </si>
  <si>
    <t xml:space="preserve">(276,000 - 50,000) * 9 / 45 = </t>
  </si>
  <si>
    <t>שינוי בפחת הנצבר 2024:</t>
  </si>
  <si>
    <t>הפחתת הפרשה בסכום ספרות - 2024:</t>
  </si>
  <si>
    <t xml:space="preserve">13,326 * 9/45 = </t>
  </si>
  <si>
    <t>יתרת חיים לתום 2024:</t>
  </si>
  <si>
    <t>סכום ספרות לתום 2024:</t>
  </si>
  <si>
    <t xml:space="preserve">n * (n + 1)/2 = 8 * 9 / 2 = </t>
  </si>
  <si>
    <t>ספרה ל-2025:</t>
  </si>
  <si>
    <r>
      <t xml:space="preserve">הוצאות פחת - 2025 - </t>
    </r>
    <r>
      <rPr>
        <b/>
        <sz val="12"/>
        <color theme="1"/>
        <rFont val="David"/>
        <family val="2"/>
        <charset val="177"/>
      </rPr>
      <t>חצי שנה</t>
    </r>
    <r>
      <rPr>
        <sz val="12"/>
        <color theme="1"/>
        <rFont val="David"/>
        <family val="2"/>
        <charset val="177"/>
      </rPr>
      <t>:</t>
    </r>
  </si>
  <si>
    <t xml:space="preserve">(241,461 - 50,000) * 8 / 36 * (6/12)  = </t>
  </si>
  <si>
    <t>תרגיל נוסף כמו ילדים טובים תוכלו ללמוד אותו לקראת המבחן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</si>
</sst>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#,##0.0_);\(#,##0.0\)"/>
  </numFmts>
  <fonts count="32" x14ac:knownFonts="1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u/>
      <sz val="12"/>
      <color theme="10"/>
      <name val="Aptos Narrow"/>
      <family val="2"/>
      <scheme val="minor"/>
    </font>
    <font>
      <u/>
      <sz val="12"/>
      <color theme="10"/>
      <name val="David"/>
      <family val="2"/>
      <charset val="177"/>
    </font>
    <font>
      <sz val="12"/>
      <color rgb="FF000000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1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sz val="12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28"/>
      <color theme="1"/>
      <name val="David"/>
      <family val="2"/>
      <charset val="177"/>
    </font>
    <font>
      <b/>
      <sz val="14"/>
      <color theme="1"/>
      <name val="David"/>
      <family val="2"/>
      <charset val="177"/>
    </font>
    <font>
      <sz val="12"/>
      <color theme="0"/>
      <name val="David"/>
      <family val="2"/>
      <charset val="177"/>
    </font>
    <font>
      <sz val="12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strike/>
      <sz val="12"/>
      <color rgb="FFFF0000"/>
      <name val="David"/>
      <family val="2"/>
      <charset val="177"/>
    </font>
    <font>
      <sz val="12"/>
      <color rgb="FFFF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sz val="12"/>
      <color rgb="FF00B050"/>
      <name val="David"/>
      <family val="2"/>
      <charset val="177"/>
    </font>
    <font>
      <b/>
      <sz val="12"/>
      <color rgb="FFFF0000"/>
      <name val="David"/>
      <family val="2"/>
      <charset val="177"/>
    </font>
    <font>
      <b/>
      <sz val="12"/>
      <color theme="4" tint="-0.249977111117893"/>
      <name val="David"/>
      <family val="2"/>
      <charset val="177"/>
    </font>
    <font>
      <b/>
      <sz val="10"/>
      <color theme="1"/>
      <name val="David"/>
      <family val="2"/>
      <charset val="177"/>
    </font>
    <font>
      <b/>
      <sz val="8"/>
      <color theme="1"/>
      <name val="David"/>
      <family val="2"/>
      <charset val="177"/>
    </font>
    <font>
      <b/>
      <sz val="22"/>
      <color theme="1"/>
      <name val="David"/>
      <family val="2"/>
      <charset val="177"/>
    </font>
    <font>
      <sz val="22"/>
      <color theme="1"/>
      <name val="David"/>
      <family val="2"/>
      <charset val="177"/>
    </font>
    <font>
      <u/>
      <sz val="12"/>
      <color theme="1"/>
      <name val="David"/>
      <family val="2"/>
      <charset val="177"/>
    </font>
    <font>
      <sz val="12"/>
      <color rgb="FF0070C0"/>
      <name val="David"/>
      <family val="2"/>
      <charset val="177"/>
    </font>
    <font>
      <sz val="12"/>
      <color rgb="FF00B050"/>
      <name val="David"/>
      <family val="2"/>
      <charset val="177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00F0FF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76D6FF"/>
        <bgColor indexed="64"/>
      </patternFill>
    </fill>
    <fill>
      <patternFill patternType="solid">
        <fgColor rgb="FF00FDFF"/>
        <bgColor indexed="64"/>
      </patternFill>
    </fill>
    <fill>
      <patternFill patternType="solid">
        <fgColor theme="7" tint="0.79998168889431442"/>
        <bgColor indexed="64"/>
      </patternFill>
    </fill>
  </fills>
  <borders count="23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auto="1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dashed">
        <color auto="1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auto="1"/>
      </top>
      <bottom style="dashed">
        <color auto="1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274">
    <xf numFmtId="0" fontId="0" fillId="0" borderId="0" xfId="0"/>
    <xf numFmtId="0" fontId="1" fillId="0" borderId="0" xfId="0" applyFont="1"/>
    <xf numFmtId="0" fontId="2" fillId="0" borderId="0" xfId="0" applyFont="1"/>
    <xf numFmtId="0" fontId="2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4" fillId="0" borderId="0" xfId="1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1" xfId="0" applyFont="1" applyBorder="1"/>
    <xf numFmtId="0" fontId="2" fillId="3" borderId="0" xfId="0" applyFont="1" applyFill="1"/>
    <xf numFmtId="0" fontId="5" fillId="0" borderId="0" xfId="0" applyFont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1" fillId="0" borderId="0" xfId="0" applyFont="1" applyAlignment="1">
      <alignment horizontal="center"/>
    </xf>
    <xf numFmtId="14" fontId="1" fillId="0" borderId="7" xfId="0" applyNumberFormat="1" applyFont="1" applyBorder="1" applyAlignment="1">
      <alignment horizontal="center"/>
    </xf>
    <xf numFmtId="37" fontId="1" fillId="0" borderId="0" xfId="0" applyNumberFormat="1" applyFont="1" applyAlignment="1">
      <alignment horizontal="center"/>
    </xf>
    <xf numFmtId="37" fontId="1" fillId="0" borderId="12" xfId="0" applyNumberFormat="1" applyFont="1" applyBorder="1" applyAlignment="1">
      <alignment horizontal="center"/>
    </xf>
    <xf numFmtId="3" fontId="1" fillId="0" borderId="0" xfId="0" applyNumberFormat="1" applyFont="1"/>
    <xf numFmtId="9" fontId="1" fillId="0" borderId="0" xfId="0" applyNumberFormat="1" applyFont="1"/>
    <xf numFmtId="3" fontId="7" fillId="2" borderId="0" xfId="0" applyNumberFormat="1" applyFont="1" applyFill="1"/>
    <xf numFmtId="3" fontId="8" fillId="0" borderId="0" xfId="0" applyNumberFormat="1" applyFont="1"/>
    <xf numFmtId="37" fontId="8" fillId="0" borderId="12" xfId="0" applyNumberFormat="1" applyFont="1" applyBorder="1" applyAlignment="1">
      <alignment horizontal="center"/>
    </xf>
    <xf numFmtId="0" fontId="1" fillId="0" borderId="0" xfId="0" applyFont="1" applyAlignment="1">
      <alignment horizontal="right"/>
    </xf>
    <xf numFmtId="0" fontId="9" fillId="0" borderId="0" xfId="0" applyFont="1"/>
    <xf numFmtId="3" fontId="9" fillId="0" borderId="0" xfId="0" applyNumberFormat="1" applyFont="1"/>
    <xf numFmtId="3" fontId="1" fillId="2" borderId="0" xfId="0" applyNumberFormat="1" applyFont="1" applyFill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14" fontId="1" fillId="0" borderId="0" xfId="0" applyNumberFormat="1" applyFont="1"/>
    <xf numFmtId="14" fontId="1" fillId="0" borderId="13" xfId="0" applyNumberFormat="1" applyFont="1" applyBorder="1" applyAlignment="1">
      <alignment horizontal="center"/>
    </xf>
    <xf numFmtId="0" fontId="1" fillId="0" borderId="12" xfId="0" applyFont="1" applyBorder="1"/>
    <xf numFmtId="3" fontId="1" fillId="0" borderId="0" xfId="0" applyNumberFormat="1" applyFont="1" applyAlignment="1">
      <alignment horizontal="center"/>
    </xf>
    <xf numFmtId="3" fontId="1" fillId="0" borderId="12" xfId="0" applyNumberFormat="1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2" borderId="0" xfId="0" applyFont="1" applyFill="1"/>
    <xf numFmtId="0" fontId="1" fillId="4" borderId="0" xfId="0" applyFont="1" applyFill="1"/>
    <xf numFmtId="37" fontId="1" fillId="5" borderId="0" xfId="0" applyNumberFormat="1" applyFont="1" applyFill="1" applyAlignment="1">
      <alignment horizontal="center"/>
    </xf>
    <xf numFmtId="3" fontId="1" fillId="5" borderId="0" xfId="0" applyNumberFormat="1" applyFont="1" applyFill="1"/>
    <xf numFmtId="0" fontId="10" fillId="0" borderId="0" xfId="0" applyFont="1"/>
    <xf numFmtId="0" fontId="1" fillId="6" borderId="0" xfId="0" applyFont="1" applyFill="1"/>
    <xf numFmtId="0" fontId="11" fillId="0" borderId="0" xfId="0" applyFont="1"/>
    <xf numFmtId="14" fontId="11" fillId="0" borderId="13" xfId="0" applyNumberFormat="1" applyFont="1" applyBorder="1"/>
    <xf numFmtId="14" fontId="1" fillId="0" borderId="13" xfId="0" applyNumberFormat="1" applyFont="1" applyBorder="1"/>
    <xf numFmtId="14" fontId="2" fillId="0" borderId="13" xfId="0" applyNumberFormat="1" applyFont="1" applyBorder="1"/>
    <xf numFmtId="3" fontId="1" fillId="0" borderId="12" xfId="0" applyNumberFormat="1" applyFont="1" applyBorder="1"/>
    <xf numFmtId="3" fontId="1" fillId="2" borderId="12" xfId="0" applyNumberFormat="1" applyFont="1" applyFill="1" applyBorder="1"/>
    <xf numFmtId="2" fontId="1" fillId="0" borderId="0" xfId="0" applyNumberFormat="1" applyFont="1"/>
    <xf numFmtId="1" fontId="1" fillId="0" borderId="0" xfId="0" applyNumberFormat="1" applyFont="1"/>
    <xf numFmtId="3" fontId="10" fillId="0" borderId="0" xfId="0" applyNumberFormat="1" applyFont="1"/>
    <xf numFmtId="14" fontId="1" fillId="0" borderId="0" xfId="0" applyNumberFormat="1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2" fillId="8" borderId="0" xfId="0" applyFont="1" applyFill="1"/>
    <xf numFmtId="0" fontId="1" fillId="8" borderId="0" xfId="0" applyFont="1" applyFill="1"/>
    <xf numFmtId="0" fontId="1" fillId="9" borderId="0" xfId="0" applyFont="1" applyFill="1"/>
    <xf numFmtId="0" fontId="2" fillId="9" borderId="0" xfId="0" applyFont="1" applyFill="1"/>
    <xf numFmtId="0" fontId="2" fillId="9" borderId="1" xfId="0" applyFont="1" applyFill="1" applyBorder="1"/>
    <xf numFmtId="0" fontId="2" fillId="9" borderId="2" xfId="0" applyFont="1" applyFill="1" applyBorder="1"/>
    <xf numFmtId="0" fontId="2" fillId="9" borderId="3" xfId="0" applyFont="1" applyFill="1" applyBorder="1"/>
    <xf numFmtId="0" fontId="2" fillId="9" borderId="6" xfId="0" applyFont="1" applyFill="1" applyBorder="1"/>
    <xf numFmtId="0" fontId="2" fillId="9" borderId="7" xfId="0" applyFont="1" applyFill="1" applyBorder="1"/>
    <xf numFmtId="0" fontId="2" fillId="9" borderId="8" xfId="0" applyFont="1" applyFill="1" applyBorder="1"/>
    <xf numFmtId="3" fontId="1" fillId="0" borderId="14" xfId="0" applyNumberFormat="1" applyFont="1" applyBorder="1"/>
    <xf numFmtId="0" fontId="1" fillId="2" borderId="0" xfId="0" applyFont="1" applyFill="1" applyAlignment="1">
      <alignment horizontal="center"/>
    </xf>
    <xf numFmtId="0" fontId="2" fillId="10" borderId="0" xfId="0" applyFont="1" applyFill="1"/>
    <xf numFmtId="14" fontId="2" fillId="10" borderId="0" xfId="0" applyNumberFormat="1" applyFont="1" applyFill="1"/>
    <xf numFmtId="0" fontId="2" fillId="7" borderId="0" xfId="0" applyFont="1" applyFill="1"/>
    <xf numFmtId="37" fontId="1" fillId="0" borderId="0" xfId="0" applyNumberFormat="1" applyFont="1"/>
    <xf numFmtId="37" fontId="1" fillId="0" borderId="12" xfId="0" applyNumberFormat="1" applyFont="1" applyBorder="1"/>
    <xf numFmtId="0" fontId="1" fillId="7" borderId="0" xfId="0" applyFont="1" applyFill="1"/>
    <xf numFmtId="37" fontId="1" fillId="0" borderId="15" xfId="0" applyNumberFormat="1" applyFont="1" applyBorder="1" applyAlignment="1">
      <alignment horizontal="center"/>
    </xf>
    <xf numFmtId="3" fontId="1" fillId="7" borderId="0" xfId="0" applyNumberFormat="1" applyFont="1" applyFill="1"/>
    <xf numFmtId="37" fontId="1" fillId="7" borderId="0" xfId="0" applyNumberFormat="1" applyFont="1" applyFill="1" applyAlignment="1">
      <alignment horizontal="center"/>
    </xf>
    <xf numFmtId="0" fontId="1" fillId="2" borderId="16" xfId="0" applyFont="1" applyFill="1" applyBorder="1" applyAlignment="1">
      <alignment horizontal="center"/>
    </xf>
    <xf numFmtId="0" fontId="1" fillId="11" borderId="16" xfId="0" applyFont="1" applyFill="1" applyBorder="1" applyAlignment="1">
      <alignment horizontal="center"/>
    </xf>
    <xf numFmtId="0" fontId="1" fillId="2" borderId="17" xfId="0" applyFont="1" applyFill="1" applyBorder="1" applyAlignment="1">
      <alignment horizontal="center"/>
    </xf>
    <xf numFmtId="0" fontId="1" fillId="11" borderId="17" xfId="0" applyFont="1" applyFill="1" applyBorder="1" applyAlignment="1">
      <alignment horizontal="center"/>
    </xf>
    <xf numFmtId="0" fontId="1" fillId="2" borderId="18" xfId="0" applyFont="1" applyFill="1" applyBorder="1" applyAlignment="1">
      <alignment horizontal="center"/>
    </xf>
    <xf numFmtId="0" fontId="1" fillId="11" borderId="18" xfId="0" applyFont="1" applyFill="1" applyBorder="1" applyAlignment="1">
      <alignment horizontal="center"/>
    </xf>
    <xf numFmtId="0" fontId="1" fillId="12" borderId="16" xfId="0" applyFont="1" applyFill="1" applyBorder="1" applyAlignment="1">
      <alignment horizontal="center"/>
    </xf>
    <xf numFmtId="0" fontId="1" fillId="12" borderId="17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3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12" borderId="18" xfId="0" applyFont="1" applyFill="1" applyBorder="1" applyAlignment="1">
      <alignment horizontal="center"/>
    </xf>
    <xf numFmtId="0" fontId="1" fillId="3" borderId="6" xfId="0" applyFont="1" applyFill="1" applyBorder="1"/>
    <xf numFmtId="0" fontId="1" fillId="3" borderId="8" xfId="0" applyFont="1" applyFill="1" applyBorder="1"/>
    <xf numFmtId="0" fontId="1" fillId="0" borderId="13" xfId="0" applyFont="1" applyBorder="1"/>
    <xf numFmtId="3" fontId="1" fillId="0" borderId="19" xfId="0" applyNumberFormat="1" applyFont="1" applyBorder="1"/>
    <xf numFmtId="0" fontId="13" fillId="0" borderId="0" xfId="0" applyFont="1"/>
    <xf numFmtId="14" fontId="2" fillId="2" borderId="0" xfId="0" applyNumberFormat="1" applyFont="1" applyFill="1"/>
    <xf numFmtId="0" fontId="2" fillId="13" borderId="0" xfId="0" applyFont="1" applyFill="1"/>
    <xf numFmtId="0" fontId="1" fillId="13" borderId="0" xfId="0" applyFont="1" applyFill="1"/>
    <xf numFmtId="3" fontId="1" fillId="6" borderId="0" xfId="0" applyNumberFormat="1" applyFont="1" applyFill="1" applyAlignment="1">
      <alignment horizontal="center"/>
    </xf>
    <xf numFmtId="0" fontId="14" fillId="2" borderId="0" xfId="0" applyFont="1" applyFill="1"/>
    <xf numFmtId="3" fontId="2" fillId="0" borderId="0" xfId="0" applyNumberFormat="1" applyFont="1"/>
    <xf numFmtId="14" fontId="1" fillId="2" borderId="13" xfId="0" applyNumberFormat="1" applyFont="1" applyFill="1" applyBorder="1"/>
    <xf numFmtId="0" fontId="7" fillId="0" borderId="0" xfId="0" applyFont="1"/>
    <xf numFmtId="0" fontId="15" fillId="0" borderId="0" xfId="0" applyFont="1"/>
    <xf numFmtId="0" fontId="15" fillId="0" borderId="0" xfId="0" applyFont="1" applyAlignment="1">
      <alignment horizontal="center"/>
    </xf>
    <xf numFmtId="0" fontId="11" fillId="2" borderId="0" xfId="0" applyFont="1" applyFill="1"/>
    <xf numFmtId="0" fontId="11" fillId="2" borderId="0" xfId="0" applyFont="1" applyFill="1" applyAlignment="1">
      <alignment horizontal="center"/>
    </xf>
    <xf numFmtId="14" fontId="11" fillId="2" borderId="13" xfId="0" applyNumberFormat="1" applyFont="1" applyFill="1" applyBorder="1" applyAlignment="1">
      <alignment horizontal="center"/>
    </xf>
    <xf numFmtId="3" fontId="11" fillId="0" borderId="0" xfId="0" applyNumberFormat="1" applyFont="1" applyAlignment="1">
      <alignment horizontal="center"/>
    </xf>
    <xf numFmtId="0" fontId="11" fillId="0" borderId="0" xfId="0" applyFont="1" applyAlignment="1">
      <alignment horizontal="center"/>
    </xf>
    <xf numFmtId="14" fontId="11" fillId="0" borderId="13" xfId="0" applyNumberFormat="1" applyFont="1" applyBorder="1" applyAlignment="1">
      <alignment horizontal="center"/>
    </xf>
    <xf numFmtId="37" fontId="15" fillId="0" borderId="0" xfId="0" applyNumberFormat="1" applyFont="1"/>
    <xf numFmtId="37" fontId="11" fillId="0" borderId="0" xfId="0" applyNumberFormat="1" applyFont="1"/>
    <xf numFmtId="37" fontId="11" fillId="0" borderId="12" xfId="0" applyNumberFormat="1" applyFont="1" applyBorder="1"/>
    <xf numFmtId="0" fontId="16" fillId="0" borderId="0" xfId="0" applyFont="1"/>
    <xf numFmtId="0" fontId="17" fillId="0" borderId="0" xfId="0" applyFont="1"/>
    <xf numFmtId="0" fontId="17" fillId="2" borderId="0" xfId="0" applyFont="1" applyFill="1"/>
    <xf numFmtId="0" fontId="18" fillId="0" borderId="0" xfId="0" applyFont="1"/>
    <xf numFmtId="0" fontId="17" fillId="0" borderId="14" xfId="0" applyFont="1" applyBorder="1"/>
    <xf numFmtId="0" fontId="18" fillId="0" borderId="9" xfId="0" applyFont="1" applyBorder="1"/>
    <xf numFmtId="0" fontId="17" fillId="0" borderId="10" xfId="0" applyFont="1" applyBorder="1"/>
    <xf numFmtId="0" fontId="17" fillId="0" borderId="11" xfId="0" applyFont="1" applyBorder="1"/>
    <xf numFmtId="0" fontId="18" fillId="2" borderId="0" xfId="0" applyFont="1" applyFill="1"/>
    <xf numFmtId="0" fontId="17" fillId="0" borderId="13" xfId="0" applyFont="1" applyBorder="1"/>
    <xf numFmtId="14" fontId="17" fillId="0" borderId="0" xfId="0" applyNumberFormat="1" applyFont="1"/>
    <xf numFmtId="3" fontId="17" fillId="0" borderId="0" xfId="0" applyNumberFormat="1" applyFont="1"/>
    <xf numFmtId="14" fontId="17" fillId="0" borderId="13" xfId="0" applyNumberFormat="1" applyFont="1" applyBorder="1" applyAlignment="1">
      <alignment horizontal="center"/>
    </xf>
    <xf numFmtId="3" fontId="17" fillId="0" borderId="0" xfId="0" applyNumberFormat="1" applyFont="1" applyAlignment="1">
      <alignment horizontal="center"/>
    </xf>
    <xf numFmtId="0" fontId="17" fillId="0" borderId="0" xfId="0" applyFont="1" applyAlignment="1">
      <alignment horizontal="center"/>
    </xf>
    <xf numFmtId="3" fontId="17" fillId="0" borderId="12" xfId="0" applyNumberFormat="1" applyFont="1" applyBorder="1" applyAlignment="1">
      <alignment horizontal="center"/>
    </xf>
    <xf numFmtId="0" fontId="17" fillId="0" borderId="12" xfId="0" applyFont="1" applyBorder="1"/>
    <xf numFmtId="3" fontId="17" fillId="0" borderId="12" xfId="0" applyNumberFormat="1" applyFont="1" applyBorder="1"/>
    <xf numFmtId="0" fontId="17" fillId="12" borderId="0" xfId="0" applyFont="1" applyFill="1" applyAlignment="1">
      <alignment horizontal="center"/>
    </xf>
    <xf numFmtId="0" fontId="17" fillId="0" borderId="13" xfId="0" applyFont="1" applyBorder="1" applyAlignment="1">
      <alignment horizontal="center"/>
    </xf>
    <xf numFmtId="9" fontId="17" fillId="0" borderId="0" xfId="0" applyNumberFormat="1" applyFont="1"/>
    <xf numFmtId="3" fontId="17" fillId="2" borderId="0" xfId="0" applyNumberFormat="1" applyFont="1" applyFill="1"/>
    <xf numFmtId="3" fontId="18" fillId="14" borderId="0" xfId="0" applyNumberFormat="1" applyFont="1" applyFill="1"/>
    <xf numFmtId="0" fontId="17" fillId="15" borderId="0" xfId="0" applyFont="1" applyFill="1"/>
    <xf numFmtId="3" fontId="17" fillId="15" borderId="0" xfId="0" applyNumberFormat="1" applyFont="1" applyFill="1"/>
    <xf numFmtId="14" fontId="17" fillId="0" borderId="13" xfId="0" applyNumberFormat="1" applyFont="1" applyBorder="1"/>
    <xf numFmtId="14" fontId="17" fillId="15" borderId="13" xfId="0" applyNumberFormat="1" applyFont="1" applyFill="1" applyBorder="1"/>
    <xf numFmtId="0" fontId="20" fillId="0" borderId="0" xfId="0" applyFont="1"/>
    <xf numFmtId="0" fontId="18" fillId="15" borderId="0" xfId="0" applyFont="1" applyFill="1"/>
    <xf numFmtId="0" fontId="17" fillId="16" borderId="0" xfId="0" applyFont="1" applyFill="1"/>
    <xf numFmtId="0" fontId="17" fillId="2" borderId="13" xfId="0" applyFont="1" applyFill="1" applyBorder="1"/>
    <xf numFmtId="0" fontId="22" fillId="0" borderId="0" xfId="0" applyFont="1"/>
    <xf numFmtId="0" fontId="23" fillId="0" borderId="0" xfId="0" applyFont="1"/>
    <xf numFmtId="0" fontId="24" fillId="0" borderId="0" xfId="0" applyFont="1"/>
    <xf numFmtId="14" fontId="17" fillId="15" borderId="13" xfId="0" applyNumberFormat="1" applyFont="1" applyFill="1" applyBorder="1" applyAlignment="1">
      <alignment horizontal="center"/>
    </xf>
    <xf numFmtId="3" fontId="17" fillId="15" borderId="0" xfId="0" applyNumberFormat="1" applyFont="1" applyFill="1" applyAlignment="1">
      <alignment horizontal="center"/>
    </xf>
    <xf numFmtId="0" fontId="17" fillId="15" borderId="0" xfId="0" applyFont="1" applyFill="1" applyAlignment="1">
      <alignment horizontal="center"/>
    </xf>
    <xf numFmtId="9" fontId="17" fillId="0" borderId="0" xfId="0" applyNumberFormat="1" applyFont="1" applyAlignment="1">
      <alignment horizontal="center"/>
    </xf>
    <xf numFmtId="1" fontId="17" fillId="0" borderId="0" xfId="0" applyNumberFormat="1" applyFont="1" applyAlignment="1">
      <alignment horizontal="center"/>
    </xf>
    <xf numFmtId="1" fontId="17" fillId="2" borderId="0" xfId="0" applyNumberFormat="1" applyFont="1" applyFill="1" applyAlignment="1">
      <alignment horizontal="center"/>
    </xf>
    <xf numFmtId="3" fontId="17" fillId="2" borderId="0" xfId="0" applyNumberFormat="1" applyFont="1" applyFill="1" applyAlignment="1">
      <alignment horizontal="center"/>
    </xf>
    <xf numFmtId="0" fontId="18" fillId="13" borderId="0" xfId="0" applyFont="1" applyFill="1"/>
    <xf numFmtId="0" fontId="18" fillId="13" borderId="0" xfId="0" applyFont="1" applyFill="1" applyAlignment="1">
      <alignment horizontal="center"/>
    </xf>
    <xf numFmtId="0" fontId="17" fillId="6" borderId="0" xfId="0" applyFont="1" applyFill="1" applyAlignment="1">
      <alignment horizontal="center"/>
    </xf>
    <xf numFmtId="0" fontId="17" fillId="2" borderId="0" xfId="0" applyFont="1" applyFill="1" applyAlignment="1">
      <alignment horizontal="center"/>
    </xf>
    <xf numFmtId="3" fontId="17" fillId="17" borderId="0" xfId="0" applyNumberFormat="1" applyFont="1" applyFill="1" applyAlignment="1">
      <alignment horizontal="center"/>
    </xf>
    <xf numFmtId="164" fontId="17" fillId="0" borderId="0" xfId="0" applyNumberFormat="1" applyFont="1" applyAlignment="1">
      <alignment horizontal="center"/>
    </xf>
    <xf numFmtId="3" fontId="17" fillId="10" borderId="0" xfId="0" applyNumberFormat="1" applyFont="1" applyFill="1" applyAlignment="1">
      <alignment horizontal="center"/>
    </xf>
    <xf numFmtId="1" fontId="17" fillId="15" borderId="0" xfId="0" applyNumberFormat="1" applyFont="1" applyFill="1" applyAlignment="1">
      <alignment horizontal="center"/>
    </xf>
    <xf numFmtId="0" fontId="17" fillId="0" borderId="16" xfId="0" applyFont="1" applyBorder="1" applyAlignment="1">
      <alignment horizontal="center"/>
    </xf>
    <xf numFmtId="14" fontId="17" fillId="0" borderId="20" xfId="0" applyNumberFormat="1" applyFont="1" applyBorder="1" applyAlignment="1">
      <alignment horizontal="center"/>
    </xf>
    <xf numFmtId="3" fontId="17" fillId="0" borderId="17" xfId="0" applyNumberFormat="1" applyFont="1" applyBorder="1" applyAlignment="1">
      <alignment horizontal="center"/>
    </xf>
    <xf numFmtId="1" fontId="17" fillId="0" borderId="17" xfId="0" applyNumberFormat="1" applyFont="1" applyBorder="1" applyAlignment="1">
      <alignment horizontal="center"/>
    </xf>
    <xf numFmtId="3" fontId="17" fillId="2" borderId="17" xfId="0" applyNumberFormat="1" applyFont="1" applyFill="1" applyBorder="1" applyAlignment="1">
      <alignment horizontal="center"/>
    </xf>
    <xf numFmtId="0" fontId="17" fillId="0" borderId="17" xfId="0" applyFont="1" applyBorder="1" applyAlignment="1">
      <alignment horizontal="center"/>
    </xf>
    <xf numFmtId="0" fontId="17" fillId="0" borderId="17" xfId="0" applyFont="1" applyBorder="1"/>
    <xf numFmtId="3" fontId="17" fillId="0" borderId="18" xfId="0" applyNumberFormat="1" applyFont="1" applyBorder="1" applyAlignment="1">
      <alignment horizontal="center"/>
    </xf>
    <xf numFmtId="14" fontId="17" fillId="0" borderId="0" xfId="0" applyNumberFormat="1" applyFont="1" applyAlignment="1">
      <alignment horizontal="center"/>
    </xf>
    <xf numFmtId="1" fontId="18" fillId="13" borderId="0" xfId="0" applyNumberFormat="1" applyFont="1" applyFill="1" applyAlignment="1">
      <alignment horizontal="center"/>
    </xf>
    <xf numFmtId="1" fontId="18" fillId="0" borderId="0" xfId="0" applyNumberFormat="1" applyFont="1"/>
    <xf numFmtId="1" fontId="18" fillId="13" borderId="0" xfId="0" applyNumberFormat="1" applyFont="1" applyFill="1"/>
    <xf numFmtId="0" fontId="2" fillId="0" borderId="2" xfId="0" applyFont="1" applyBorder="1"/>
    <xf numFmtId="0" fontId="2" fillId="0" borderId="3" xfId="0" applyFont="1" applyBorder="1"/>
    <xf numFmtId="0" fontId="27" fillId="18" borderId="9" xfId="0" applyFont="1" applyFill="1" applyBorder="1"/>
    <xf numFmtId="0" fontId="28" fillId="18" borderId="10" xfId="0" applyFont="1" applyFill="1" applyBorder="1"/>
    <xf numFmtId="0" fontId="28" fillId="18" borderId="11" xfId="0" applyFont="1" applyFill="1" applyBorder="1"/>
    <xf numFmtId="37" fontId="1" fillId="2" borderId="0" xfId="0" applyNumberFormat="1" applyFont="1" applyFill="1" applyAlignment="1">
      <alignment horizontal="center"/>
    </xf>
    <xf numFmtId="9" fontId="1" fillId="0" borderId="0" xfId="0" applyNumberFormat="1" applyFont="1" applyAlignment="1">
      <alignment horizontal="center"/>
    </xf>
    <xf numFmtId="14" fontId="1" fillId="0" borderId="21" xfId="0" applyNumberFormat="1" applyFont="1" applyBorder="1" applyAlignment="1">
      <alignment horizontal="center"/>
    </xf>
    <xf numFmtId="37" fontId="1" fillId="0" borderId="5" xfId="0" applyNumberFormat="1" applyFont="1" applyBorder="1" applyAlignment="1">
      <alignment horizontal="center"/>
    </xf>
    <xf numFmtId="37" fontId="1" fillId="2" borderId="5" xfId="0" applyNumberFormat="1" applyFont="1" applyFill="1" applyBorder="1" applyAlignment="1">
      <alignment horizontal="center"/>
    </xf>
    <xf numFmtId="0" fontId="1" fillId="0" borderId="7" xfId="0" applyFont="1" applyBorder="1" applyAlignment="1">
      <alignment horizontal="center"/>
    </xf>
    <xf numFmtId="37" fontId="1" fillId="0" borderId="8" xfId="0" applyNumberFormat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37" fontId="1" fillId="0" borderId="3" xfId="0" applyNumberFormat="1" applyFont="1" applyBorder="1" applyAlignment="1">
      <alignment horizontal="center"/>
    </xf>
    <xf numFmtId="37" fontId="1" fillId="2" borderId="0" xfId="0" applyNumberFormat="1" applyFont="1" applyFill="1"/>
    <xf numFmtId="37" fontId="2" fillId="0" borderId="12" xfId="0" applyNumberFormat="1" applyFont="1" applyBorder="1"/>
    <xf numFmtId="0" fontId="29" fillId="0" borderId="0" xfId="0" applyFont="1"/>
    <xf numFmtId="1" fontId="1" fillId="18" borderId="0" xfId="0" applyNumberFormat="1" applyFont="1" applyFill="1"/>
    <xf numFmtId="0" fontId="5" fillId="0" borderId="0" xfId="0" applyFont="1" applyAlignment="1">
      <alignment readingOrder="2"/>
    </xf>
    <xf numFmtId="0" fontId="5" fillId="0" borderId="0" xfId="0" applyFont="1" applyAlignment="1">
      <alignment readingOrder="1"/>
    </xf>
    <xf numFmtId="37" fontId="5" fillId="2" borderId="0" xfId="0" applyNumberFormat="1" applyFont="1" applyFill="1" applyAlignment="1">
      <alignment readingOrder="1"/>
    </xf>
    <xf numFmtId="9" fontId="5" fillId="0" borderId="0" xfId="0" applyNumberFormat="1" applyFont="1" applyAlignment="1">
      <alignment readingOrder="2"/>
    </xf>
    <xf numFmtId="3" fontId="5" fillId="0" borderId="0" xfId="0" applyNumberFormat="1" applyFont="1" applyAlignment="1">
      <alignment readingOrder="2"/>
    </xf>
    <xf numFmtId="37" fontId="5" fillId="0" borderId="0" xfId="0" applyNumberFormat="1" applyFont="1" applyAlignment="1">
      <alignment readingOrder="1"/>
    </xf>
    <xf numFmtId="37" fontId="5" fillId="2" borderId="0" xfId="0" applyNumberFormat="1" applyFont="1" applyFill="1" applyAlignment="1">
      <alignment readingOrder="2"/>
    </xf>
    <xf numFmtId="1" fontId="1" fillId="2" borderId="0" xfId="0" applyNumberFormat="1" applyFont="1" applyFill="1"/>
    <xf numFmtId="1" fontId="1" fillId="0" borderId="14" xfId="0" applyNumberFormat="1" applyFont="1" applyBorder="1"/>
    <xf numFmtId="37" fontId="1" fillId="0" borderId="14" xfId="0" applyNumberFormat="1" applyFont="1" applyBorder="1" applyAlignment="1">
      <alignment horizontal="center"/>
    </xf>
    <xf numFmtId="0" fontId="2" fillId="0" borderId="13" xfId="0" applyFont="1" applyBorder="1"/>
    <xf numFmtId="14" fontId="1" fillId="2" borderId="13" xfId="0" applyNumberFormat="1" applyFont="1" applyFill="1" applyBorder="1" applyAlignment="1">
      <alignment horizontal="center"/>
    </xf>
    <xf numFmtId="0" fontId="1" fillId="6" borderId="0" xfId="0" applyFont="1" applyFill="1" applyAlignment="1">
      <alignment horizontal="center"/>
    </xf>
    <xf numFmtId="0" fontId="2" fillId="2" borderId="0" xfId="0" applyFont="1" applyFill="1" applyAlignment="1">
      <alignment horizontal="center"/>
    </xf>
    <xf numFmtId="0" fontId="1" fillId="7" borderId="0" xfId="0" applyFont="1" applyFill="1" applyAlignment="1">
      <alignment horizontal="center"/>
    </xf>
    <xf numFmtId="0" fontId="1" fillId="2" borderId="0" xfId="0" applyFont="1" applyFill="1" applyAlignment="1">
      <alignment horizontal="center"/>
    </xf>
    <xf numFmtId="0" fontId="1" fillId="2" borderId="5" xfId="0" applyFont="1" applyFill="1" applyBorder="1" applyAlignment="1">
      <alignment horizontal="center"/>
    </xf>
    <xf numFmtId="3" fontId="1" fillId="0" borderId="0" xfId="0" applyNumberFormat="1" applyFont="1" applyAlignment="1">
      <alignment horizontal="center"/>
    </xf>
    <xf numFmtId="37" fontId="1" fillId="0" borderId="0" xfId="0" applyNumberFormat="1" applyFont="1" applyAlignment="1">
      <alignment horizontal="center"/>
    </xf>
    <xf numFmtId="0" fontId="7" fillId="0" borderId="9" xfId="0" applyFont="1" applyBorder="1" applyAlignment="1">
      <alignment horizontal="center"/>
    </xf>
    <xf numFmtId="0" fontId="7" fillId="0" borderId="10" xfId="0" applyFont="1" applyBorder="1" applyAlignment="1">
      <alignment horizontal="center"/>
    </xf>
    <xf numFmtId="0" fontId="7" fillId="0" borderId="11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2" fillId="19" borderId="0" xfId="0" applyFont="1" applyFill="1"/>
    <xf numFmtId="0" fontId="1" fillId="5" borderId="0" xfId="0" applyFont="1" applyFill="1"/>
    <xf numFmtId="0" fontId="30" fillId="0" borderId="0" xfId="0" applyFont="1"/>
    <xf numFmtId="0" fontId="2" fillId="0" borderId="0" xfId="0" applyFont="1" applyAlignment="1">
      <alignment horizontal="center"/>
    </xf>
    <xf numFmtId="0" fontId="10" fillId="20" borderId="9" xfId="0" applyFont="1" applyFill="1" applyBorder="1" applyAlignment="1">
      <alignment horizontal="center"/>
    </xf>
    <xf numFmtId="0" fontId="10" fillId="20" borderId="11" xfId="0" applyFont="1" applyFill="1" applyBorder="1" applyAlignment="1">
      <alignment horizontal="center"/>
    </xf>
    <xf numFmtId="0" fontId="1" fillId="20" borderId="0" xfId="0" applyFont="1" applyFill="1" applyAlignment="1">
      <alignment horizontal="center"/>
    </xf>
    <xf numFmtId="3" fontId="1" fillId="0" borderId="5" xfId="0" applyNumberFormat="1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3" fontId="1" fillId="0" borderId="22" xfId="0" applyNumberFormat="1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165" fontId="1" fillId="0" borderId="12" xfId="0" applyNumberFormat="1" applyFont="1" applyBorder="1" applyAlignment="1">
      <alignment horizontal="center"/>
    </xf>
    <xf numFmtId="37" fontId="11" fillId="0" borderId="5" xfId="0" applyNumberFormat="1" applyFont="1" applyBorder="1" applyAlignment="1">
      <alignment horizontal="center"/>
    </xf>
    <xf numFmtId="0" fontId="11" fillId="0" borderId="5" xfId="0" applyFont="1" applyBorder="1" applyAlignment="1">
      <alignment horizontal="center"/>
    </xf>
    <xf numFmtId="3" fontId="11" fillId="0" borderId="22" xfId="0" applyNumberFormat="1" applyFont="1" applyBorder="1" applyAlignment="1">
      <alignment horizontal="center"/>
    </xf>
    <xf numFmtId="0" fontId="15" fillId="0" borderId="8" xfId="0" applyFont="1" applyBorder="1"/>
    <xf numFmtId="0" fontId="11" fillId="0" borderId="13" xfId="0" applyFont="1" applyBorder="1" applyAlignment="1">
      <alignment horizontal="center"/>
    </xf>
    <xf numFmtId="37" fontId="11" fillId="0" borderId="0" xfId="0" applyNumberFormat="1" applyFont="1" applyAlignment="1">
      <alignment horizontal="center"/>
    </xf>
    <xf numFmtId="37" fontId="11" fillId="0" borderId="12" xfId="0" applyNumberFormat="1" applyFont="1" applyBorder="1" applyAlignment="1">
      <alignment horizontal="center"/>
    </xf>
    <xf numFmtId="9" fontId="11" fillId="0" borderId="0" xfId="0" applyNumberFormat="1" applyFont="1" applyAlignment="1">
      <alignment horizontal="center"/>
    </xf>
    <xf numFmtId="14" fontId="11" fillId="0" borderId="21" xfId="0" applyNumberFormat="1" applyFont="1" applyBorder="1" applyAlignment="1">
      <alignment horizontal="center"/>
    </xf>
    <xf numFmtId="3" fontId="11" fillId="0" borderId="5" xfId="0" applyNumberFormat="1" applyFont="1" applyBorder="1" applyAlignment="1">
      <alignment horizontal="center"/>
    </xf>
    <xf numFmtId="0" fontId="15" fillId="0" borderId="5" xfId="0" applyFont="1" applyBorder="1"/>
    <xf numFmtId="37" fontId="15" fillId="6" borderId="5" xfId="0" applyNumberFormat="1" applyFont="1" applyFill="1" applyBorder="1" applyAlignment="1">
      <alignment horizontal="center"/>
    </xf>
    <xf numFmtId="0" fontId="15" fillId="6" borderId="5" xfId="0" applyFont="1" applyFill="1" applyBorder="1" applyAlignment="1">
      <alignment horizontal="center"/>
    </xf>
    <xf numFmtId="0" fontId="15" fillId="0" borderId="5" xfId="0" applyFont="1" applyBorder="1" applyAlignment="1">
      <alignment horizontal="center"/>
    </xf>
    <xf numFmtId="0" fontId="15" fillId="6" borderId="8" xfId="0" applyFont="1" applyFill="1" applyBorder="1"/>
    <xf numFmtId="37" fontId="1" fillId="0" borderId="0" xfId="0" applyNumberFormat="1" applyFont="1" applyAlignment="1">
      <alignment horizontal="right"/>
    </xf>
    <xf numFmtId="3" fontId="10" fillId="0" borderId="12" xfId="0" applyNumberFormat="1" applyFont="1" applyBorder="1"/>
    <xf numFmtId="3" fontId="31" fillId="0" borderId="0" xfId="0" applyNumberFormat="1" applyFont="1"/>
    <xf numFmtId="37" fontId="31" fillId="0" borderId="0" xfId="0" applyNumberFormat="1" applyFont="1"/>
    <xf numFmtId="3" fontId="2" fillId="0" borderId="11" xfId="0" applyNumberFormat="1" applyFont="1" applyBorder="1"/>
    <xf numFmtId="37" fontId="11" fillId="0" borderId="8" xfId="0" applyNumberFormat="1" applyFont="1" applyBorder="1" applyAlignment="1">
      <alignment horizontal="center"/>
    </xf>
    <xf numFmtId="37" fontId="11" fillId="0" borderId="5" xfId="0" applyNumberFormat="1" applyFont="1" applyBorder="1" applyAlignment="1">
      <alignment horizontal="right"/>
    </xf>
    <xf numFmtId="0" fontId="1" fillId="8" borderId="0" xfId="0" applyFont="1" applyFill="1" applyAlignment="1">
      <alignment horizontal="center"/>
    </xf>
    <xf numFmtId="37" fontId="1" fillId="0" borderId="14" xfId="0" applyNumberFormat="1" applyFont="1" applyBorder="1"/>
    <xf numFmtId="37" fontId="1" fillId="2" borderId="14" xfId="0" applyNumberFormat="1" applyFont="1" applyFill="1" applyBorder="1"/>
    <xf numFmtId="37" fontId="15" fillId="6" borderId="8" xfId="0" applyNumberFormat="1" applyFont="1" applyFill="1" applyBorder="1" applyAlignment="1">
      <alignment horizontal="center"/>
    </xf>
    <xf numFmtId="37" fontId="1" fillId="0" borderId="5" xfId="0" applyNumberFormat="1" applyFont="1" applyBorder="1" applyAlignment="1">
      <alignment horizontal="right"/>
    </xf>
    <xf numFmtId="37" fontId="1" fillId="0" borderId="12" xfId="0" applyNumberFormat="1" applyFont="1" applyBorder="1" applyAlignment="1">
      <alignment horizontal="right"/>
    </xf>
    <xf numFmtId="37" fontId="1" fillId="13" borderId="0" xfId="0" applyNumberFormat="1" applyFont="1" applyFill="1" applyAlignment="1">
      <alignment horizontal="right"/>
    </xf>
    <xf numFmtId="0" fontId="11" fillId="0" borderId="5" xfId="0" applyFont="1" applyBorder="1"/>
    <xf numFmtId="3" fontId="1" fillId="20" borderId="0" xfId="0" applyNumberFormat="1" applyFont="1" applyFill="1"/>
    <xf numFmtId="0" fontId="2" fillId="20" borderId="0" xfId="0" applyFont="1" applyFill="1"/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5" fillId="6" borderId="4" xfId="0" applyFont="1" applyFill="1" applyBorder="1" applyAlignment="1">
      <alignment horizontal="center"/>
    </xf>
    <xf numFmtId="0" fontId="15" fillId="6" borderId="0" xfId="0" applyFont="1" applyFill="1" applyAlignment="1">
      <alignment horizontal="center"/>
    </xf>
    <xf numFmtId="0" fontId="15" fillId="6" borderId="5" xfId="0" applyFont="1" applyFill="1" applyBorder="1" applyAlignment="1">
      <alignment horizontal="center"/>
    </xf>
    <xf numFmtId="3" fontId="1" fillId="0" borderId="4" xfId="0" applyNumberFormat="1" applyFont="1" applyBorder="1" applyAlignment="1">
      <alignment horizontal="center"/>
    </xf>
    <xf numFmtId="3" fontId="1" fillId="2" borderId="5" xfId="0" applyNumberFormat="1" applyFont="1" applyFill="1" applyBorder="1" applyAlignment="1">
      <alignment horizontal="center"/>
    </xf>
    <xf numFmtId="3" fontId="1" fillId="0" borderId="6" xfId="0" applyNumberFormat="1" applyFont="1" applyBorder="1" applyAlignment="1">
      <alignment horizontal="center"/>
    </xf>
    <xf numFmtId="3" fontId="1" fillId="0" borderId="7" xfId="0" applyNumberFormat="1" applyFont="1" applyBorder="1" applyAlignment="1">
      <alignment horizontal="center"/>
    </xf>
    <xf numFmtId="3" fontId="1" fillId="2" borderId="8" xfId="0" applyNumberFormat="1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FF8AD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microsoft.com/office/2017/10/relationships/person" Target="persons/perso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" Type="http://schemas.openxmlformats.org/officeDocument/2006/relationships/image" Target="../media/image18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176204</xdr:colOff>
      <xdr:row>36</xdr:row>
      <xdr:rowOff>142958</xdr:rowOff>
    </xdr:from>
    <xdr:to>
      <xdr:col>7</xdr:col>
      <xdr:colOff>784607</xdr:colOff>
      <xdr:row>40</xdr:row>
      <xdr:rowOff>96414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54B1C122-B8DD-B0A4-E2D5-E1105D936C46}"/>
            </a:ext>
          </a:extLst>
        </xdr:cNvPr>
        <xdr:cNvSpPr txBox="1"/>
      </xdr:nvSpPr>
      <xdr:spPr>
        <a:xfrm>
          <a:off x="13502211126" y="7523586"/>
          <a:ext cx="6379921" cy="7646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סעיף</a:t>
          </a:r>
          <a:r>
            <a:rPr lang="he-IL" sz="1200" b="1" baseline="0">
              <a:latin typeface="David" panose="020E0502060401010101" pitchFamily="34" charset="-79"/>
              <a:cs typeface="David" panose="020E0502060401010101" pitchFamily="34" charset="-79"/>
            </a:rPr>
            <a:t> 1</a:t>
          </a:r>
          <a:r>
            <a:rPr lang="he-IL" sz="1200" baseline="0">
              <a:latin typeface="David" panose="020E0502060401010101" pitchFamily="34" charset="-79"/>
              <a:cs typeface="David" panose="020E0502060401010101" pitchFamily="34" charset="-79"/>
            </a:rPr>
            <a:t>: 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מטרת תקן זה היא לקבוע את הטיפול החשבונאי ברכוש קבוע, כך </a:t>
          </a:r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שמשתמשים בדוחות הכספיים 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יוכלו לקבל מידע לגבי השקעתה של הישות ברכוש קבוע ולגבי השינויים בהשקעה כזו. הסוגיות העיקריות בטיפול חשבונאי ברכוש קבוע הן </a:t>
          </a:r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ההכרה בכסים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, </a:t>
          </a:r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קביעת ערכם בספרים 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והוצאות פחת והפסדים מירידת ערך , שיוכרו בהתייחס אליהם.</a:t>
          </a:r>
          <a:endParaRPr lang="en-US" sz="12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0</xdr:col>
      <xdr:colOff>0</xdr:colOff>
      <xdr:row>56</xdr:row>
      <xdr:rowOff>204368</xdr:rowOff>
    </xdr:from>
    <xdr:to>
      <xdr:col>7</xdr:col>
      <xdr:colOff>608403</xdr:colOff>
      <xdr:row>59</xdr:row>
      <xdr:rowOff>91235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CCD0F9C4-FA37-BE45-BF19-AE6E1E20F97D}"/>
            </a:ext>
          </a:extLst>
        </xdr:cNvPr>
        <xdr:cNvSpPr txBox="1"/>
      </xdr:nvSpPr>
      <xdr:spPr>
        <a:xfrm>
          <a:off x="13506768551" y="11714655"/>
          <a:ext cx="6381794" cy="49997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סעיף</a:t>
          </a:r>
          <a:r>
            <a:rPr lang="he-IL" sz="1200" b="1" baseline="0">
              <a:latin typeface="David" panose="020E0502060401010101" pitchFamily="34" charset="-79"/>
              <a:cs typeface="David" panose="020E0502060401010101" pitchFamily="34" charset="-79"/>
            </a:rPr>
            <a:t> 2-5</a:t>
          </a:r>
          <a:r>
            <a:rPr lang="he-IL" sz="1200" baseline="0">
              <a:latin typeface="David" panose="020E0502060401010101" pitchFamily="34" charset="-79"/>
              <a:cs typeface="David" panose="020E0502060401010101" pitchFamily="34" charset="-79"/>
            </a:rPr>
            <a:t>: 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דנים בכך שישנם נכסים</a:t>
          </a:r>
          <a:r>
            <a:rPr lang="he-IL" sz="1200" baseline="0">
              <a:latin typeface="David" panose="020E0502060401010101" pitchFamily="34" charset="-79"/>
              <a:cs typeface="David" panose="020E0502060401010101" pitchFamily="34" charset="-79"/>
            </a:rPr>
            <a:t> לזמן ארוך שאינם רכוש קבוע (למשל נכסים המיועדים למכירה בהגדרה, נכסים חקלאיים וביולוגיים, וכן נדל״ן להשקעה). </a:t>
          </a:r>
          <a:endParaRPr lang="en-US" sz="12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0</xdr:col>
      <xdr:colOff>0</xdr:colOff>
      <xdr:row>89</xdr:row>
      <xdr:rowOff>204368</xdr:rowOff>
    </xdr:from>
    <xdr:to>
      <xdr:col>7</xdr:col>
      <xdr:colOff>879511</xdr:colOff>
      <xdr:row>92</xdr:row>
      <xdr:rowOff>91235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1ADE3AB6-C312-E048-BE18-3EA65F54B9F0}"/>
            </a:ext>
          </a:extLst>
        </xdr:cNvPr>
        <xdr:cNvSpPr txBox="1"/>
      </xdr:nvSpPr>
      <xdr:spPr>
        <a:xfrm>
          <a:off x="13506497443" y="18502586"/>
          <a:ext cx="6652902" cy="49997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סעיף</a:t>
          </a:r>
          <a:r>
            <a:rPr lang="he-IL" sz="1200" b="1" baseline="0">
              <a:latin typeface="David" panose="020E0502060401010101" pitchFamily="34" charset="-79"/>
              <a:cs typeface="David" panose="020E0502060401010101" pitchFamily="34" charset="-79"/>
            </a:rPr>
            <a:t> </a:t>
          </a:r>
          <a:r>
            <a:rPr lang="en-US" sz="1200" b="1" baseline="0">
              <a:latin typeface="David" panose="020E0502060401010101" pitchFamily="34" charset="-79"/>
              <a:cs typeface="David" panose="020E0502060401010101" pitchFamily="34" charset="-79"/>
            </a:rPr>
            <a:t>6</a:t>
          </a:r>
          <a:r>
            <a:rPr lang="he-IL" sz="1200" baseline="0">
              <a:latin typeface="David" panose="020E0502060401010101" pitchFamily="34" charset="-79"/>
              <a:cs typeface="David" panose="020E0502060401010101" pitchFamily="34" charset="-79"/>
            </a:rPr>
            <a:t>: מגדיר את ערך הספרים; ערך זה הוא הערך שבו מוכר הנכס בניכוי פחת נצבר (מכירים) והפסדים מירידת ערך שנצברו. </a:t>
          </a:r>
          <a:endParaRPr lang="en-US" sz="12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 editAs="oneCell">
    <xdr:from>
      <xdr:col>6</xdr:col>
      <xdr:colOff>5577</xdr:colOff>
      <xdr:row>116</xdr:row>
      <xdr:rowOff>129427</xdr:rowOff>
    </xdr:from>
    <xdr:to>
      <xdr:col>6</xdr:col>
      <xdr:colOff>793224</xdr:colOff>
      <xdr:row>120</xdr:row>
      <xdr:rowOff>13348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D5DC1D-4DDF-B550-68FA-23378B69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734801" y="23745765"/>
          <a:ext cx="787647" cy="692838"/>
        </a:xfrm>
        <a:prstGeom prst="rect">
          <a:avLst/>
        </a:prstGeom>
      </xdr:spPr>
    </xdr:pic>
    <xdr:clientData/>
  </xdr:twoCellAnchor>
  <xdr:twoCellAnchor>
    <xdr:from>
      <xdr:col>7</xdr:col>
      <xdr:colOff>64712</xdr:colOff>
      <xdr:row>113</xdr:row>
      <xdr:rowOff>117293</xdr:rowOff>
    </xdr:from>
    <xdr:to>
      <xdr:col>9</xdr:col>
      <xdr:colOff>525794</xdr:colOff>
      <xdr:row>120</xdr:row>
      <xdr:rowOff>194140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64C39412-046D-5BC3-E5D3-9E3D6E7F5CD2}"/>
            </a:ext>
          </a:extLst>
        </xdr:cNvPr>
        <xdr:cNvSpPr/>
      </xdr:nvSpPr>
      <xdr:spPr>
        <a:xfrm>
          <a:off x="13510413696" y="23114809"/>
          <a:ext cx="2224522" cy="1504586"/>
        </a:xfrm>
        <a:prstGeom prst="wedgeRoundRectCallout">
          <a:avLst>
            <a:gd name="adj1" fmla="val 62045"/>
            <a:gd name="adj2" fmla="val 2826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כל מטרת</a:t>
          </a:r>
          <a:r>
            <a:rPr lang="he-IL" sz="1100" baseline="0"/>
            <a:t> השאלה היתה לנסות ולהדגים באופן בסיסי מאד את מושג ירידת הערך המצטברת; כשעוסקים ברכוש קבוע לעומק, אי אפשר לדבר רק על פחת נצבר. גם אירועים המובילים לירידה נוספת בערכו צריכים לקבל ביטוי</a:t>
          </a:r>
          <a:endParaRPr lang="en-US" sz="1100"/>
        </a:p>
      </xdr:txBody>
    </xdr:sp>
    <xdr:clientData/>
  </xdr:twoCellAnchor>
  <xdr:twoCellAnchor>
    <xdr:from>
      <xdr:col>0</xdr:col>
      <xdr:colOff>15916</xdr:colOff>
      <xdr:row>156</xdr:row>
      <xdr:rowOff>42745</xdr:rowOff>
    </xdr:from>
    <xdr:to>
      <xdr:col>7</xdr:col>
      <xdr:colOff>625371</xdr:colOff>
      <xdr:row>158</xdr:row>
      <xdr:rowOff>132862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CCDD462-4B50-1D86-C9D4-F5AEED023433}"/>
            </a:ext>
          </a:extLst>
        </xdr:cNvPr>
        <xdr:cNvSpPr txBox="1"/>
      </xdr:nvSpPr>
      <xdr:spPr>
        <a:xfrm>
          <a:off x="13534380483" y="32067167"/>
          <a:ext cx="6458475" cy="49855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עדיין סעיף 6: 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עלות היא סכום המזומנים או שווי המזומנים ששולם או השווי ההוגן של תמורה אחרת שניתנה על מנת לרכוש נכס בעת רכישתו או הקמתו </a:t>
          </a:r>
          <a:endParaRPr lang="en-US" sz="12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4</xdr:col>
      <xdr:colOff>573186</xdr:colOff>
      <xdr:row>173</xdr:row>
      <xdr:rowOff>78673</xdr:rowOff>
    </xdr:from>
    <xdr:to>
      <xdr:col>4</xdr:col>
      <xdr:colOff>588172</xdr:colOff>
      <xdr:row>181</xdr:row>
      <xdr:rowOff>142360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0453AFD-58B5-87ED-0E23-CABC27A7A544}"/>
            </a:ext>
          </a:extLst>
        </xdr:cNvPr>
        <xdr:cNvCxnSpPr/>
      </xdr:nvCxnSpPr>
      <xdr:spPr>
        <a:xfrm>
          <a:off x="13499830265" y="35271534"/>
          <a:ext cx="14986" cy="16820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251004</xdr:colOff>
      <xdr:row>170</xdr:row>
      <xdr:rowOff>176354</xdr:rowOff>
    </xdr:from>
    <xdr:to>
      <xdr:col>8</xdr:col>
      <xdr:colOff>89050</xdr:colOff>
      <xdr:row>176</xdr:row>
      <xdr:rowOff>136441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97795F0-6120-0156-FCD1-F6575EF2C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6826584" y="34762313"/>
          <a:ext cx="1602560" cy="1173892"/>
        </a:xfrm>
        <a:prstGeom prst="rect">
          <a:avLst/>
        </a:prstGeom>
      </xdr:spPr>
    </xdr:pic>
    <xdr:clientData/>
  </xdr:twoCellAnchor>
  <xdr:twoCellAnchor>
    <xdr:from>
      <xdr:col>8</xdr:col>
      <xdr:colOff>217286</xdr:colOff>
      <xdr:row>170</xdr:row>
      <xdr:rowOff>3746</xdr:rowOff>
    </xdr:from>
    <xdr:to>
      <xdr:col>9</xdr:col>
      <xdr:colOff>775487</xdr:colOff>
      <xdr:row>173</xdr:row>
      <xdr:rowOff>112390</xdr:rowOff>
    </xdr:to>
    <xdr:sp macro="" textlink="">
      <xdr:nvSpPr>
        <xdr:cNvPr id="11" name="Rounded Rectangular Callout 10">
          <a:extLst>
            <a:ext uri="{FF2B5EF4-FFF2-40B4-BE49-F238E27FC236}">
              <a16:creationId xmlns:a16="http://schemas.microsoft.com/office/drawing/2014/main" id="{CB30751E-D6CD-7D56-104C-DB691F6D3175}"/>
            </a:ext>
          </a:extLst>
        </xdr:cNvPr>
        <xdr:cNvSpPr/>
      </xdr:nvSpPr>
      <xdr:spPr>
        <a:xfrm>
          <a:off x="13495315959" y="34589705"/>
          <a:ext cx="1382389" cy="715546"/>
        </a:xfrm>
        <a:prstGeom prst="wedgeRoundRectCallout">
          <a:avLst>
            <a:gd name="adj1" fmla="val 64804"/>
            <a:gd name="adj2" fmla="val 473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נשבע לך אני שווה 80,000</a:t>
          </a:r>
          <a:endParaRPr lang="en-US" sz="1100"/>
        </a:p>
      </xdr:txBody>
    </xdr:sp>
    <xdr:clientData/>
  </xdr:twoCellAnchor>
  <xdr:twoCellAnchor>
    <xdr:from>
      <xdr:col>0</xdr:col>
      <xdr:colOff>52449</xdr:colOff>
      <xdr:row>193</xdr:row>
      <xdr:rowOff>134867</xdr:rowOff>
    </xdr:from>
    <xdr:to>
      <xdr:col>8</xdr:col>
      <xdr:colOff>93658</xdr:colOff>
      <xdr:row>193</xdr:row>
      <xdr:rowOff>157345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8E12FB27-D6DE-2FB9-06E4-F05BBFE178E2}"/>
            </a:ext>
          </a:extLst>
        </xdr:cNvPr>
        <xdr:cNvCxnSpPr/>
      </xdr:nvCxnSpPr>
      <xdr:spPr>
        <a:xfrm flipV="1">
          <a:off x="13496821976" y="39373746"/>
          <a:ext cx="6840767" cy="2247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134865</xdr:colOff>
      <xdr:row>195</xdr:row>
      <xdr:rowOff>5618</xdr:rowOff>
    </xdr:from>
    <xdr:to>
      <xdr:col>7</xdr:col>
      <xdr:colOff>724911</xdr:colOff>
      <xdr:row>197</xdr:row>
      <xdr:rowOff>179822</xdr:rowOff>
    </xdr:to>
    <xdr:sp macro="" textlink="">
      <xdr:nvSpPr>
        <xdr:cNvPr id="15" name="Left Brace 14">
          <a:extLst>
            <a:ext uri="{FF2B5EF4-FFF2-40B4-BE49-F238E27FC236}">
              <a16:creationId xmlns:a16="http://schemas.microsoft.com/office/drawing/2014/main" id="{D2246B79-4281-49FE-6261-70FDE8CEBA80}"/>
            </a:ext>
          </a:extLst>
        </xdr:cNvPr>
        <xdr:cNvSpPr/>
      </xdr:nvSpPr>
      <xdr:spPr>
        <a:xfrm rot="16200000">
          <a:off x="13498417907" y="38362240"/>
          <a:ext cx="578806" cy="315252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14983</xdr:colOff>
      <xdr:row>194</xdr:row>
      <xdr:rowOff>185441</xdr:rowOff>
    </xdr:from>
    <xdr:to>
      <xdr:col>2</xdr:col>
      <xdr:colOff>726785</xdr:colOff>
      <xdr:row>197</xdr:row>
      <xdr:rowOff>123628</xdr:rowOff>
    </xdr:to>
    <xdr:sp macro="" textlink="">
      <xdr:nvSpPr>
        <xdr:cNvPr id="17" name="Left Brace 16">
          <a:extLst>
            <a:ext uri="{FF2B5EF4-FFF2-40B4-BE49-F238E27FC236}">
              <a16:creationId xmlns:a16="http://schemas.microsoft.com/office/drawing/2014/main" id="{F9E789CF-219E-3941-4DC3-B4B89DD2134C}"/>
            </a:ext>
          </a:extLst>
        </xdr:cNvPr>
        <xdr:cNvSpPr/>
      </xdr:nvSpPr>
      <xdr:spPr>
        <a:xfrm rot="16200000">
          <a:off x="13502247574" y="38719076"/>
          <a:ext cx="545090" cy="236018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2</xdr:col>
      <xdr:colOff>788722</xdr:colOff>
      <xdr:row>196</xdr:row>
      <xdr:rowOff>26223</xdr:rowOff>
    </xdr:from>
    <xdr:to>
      <xdr:col>4</xdr:col>
      <xdr:colOff>91672</xdr:colOff>
      <xdr:row>200</xdr:row>
      <xdr:rowOff>135353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23C59CD-0160-3ADE-1DF4-84AB61961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0326765" y="39872005"/>
          <a:ext cx="951327" cy="91833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606425</xdr:colOff>
      <xdr:row>126</xdr:row>
      <xdr:rowOff>34925</xdr:rowOff>
    </xdr:from>
    <xdr:to>
      <xdr:col>8</xdr:col>
      <xdr:colOff>76200</xdr:colOff>
      <xdr:row>127</xdr:row>
      <xdr:rowOff>22225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5EB54D7-0988-BD4D-9CF2-45F2D4C8DBA6}"/>
            </a:ext>
          </a:extLst>
        </xdr:cNvPr>
        <xdr:cNvCxnSpPr/>
      </xdr:nvCxnSpPr>
      <xdr:spPr>
        <a:xfrm flipH="1">
          <a:off x="13518311800" y="25752425"/>
          <a:ext cx="295275" cy="190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228600</xdr:colOff>
      <xdr:row>125</xdr:row>
      <xdr:rowOff>190500</xdr:rowOff>
    </xdr:from>
    <xdr:to>
      <xdr:col>7</xdr:col>
      <xdr:colOff>336550</xdr:colOff>
      <xdr:row>128</xdr:row>
      <xdr:rowOff>98425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738125B-21F8-114B-9B64-9BA6C7EA186D}"/>
            </a:ext>
          </a:extLst>
        </xdr:cNvPr>
        <xdr:cNvCxnSpPr/>
      </xdr:nvCxnSpPr>
      <xdr:spPr>
        <a:xfrm flipH="1">
          <a:off x="13518876950" y="25704800"/>
          <a:ext cx="107950" cy="517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558800</xdr:colOff>
      <xdr:row>125</xdr:row>
      <xdr:rowOff>165100</xdr:rowOff>
    </xdr:from>
    <xdr:to>
      <xdr:col>7</xdr:col>
      <xdr:colOff>41275</xdr:colOff>
      <xdr:row>127</xdr:row>
      <xdr:rowOff>66675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1F51EB6E-8663-DE4B-92B6-B3F15BBEBF20}"/>
            </a:ext>
          </a:extLst>
        </xdr:cNvPr>
        <xdr:cNvCxnSpPr/>
      </xdr:nvCxnSpPr>
      <xdr:spPr>
        <a:xfrm>
          <a:off x="13519172225" y="25679400"/>
          <a:ext cx="307975" cy="3079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422276</xdr:colOff>
      <xdr:row>142</xdr:row>
      <xdr:rowOff>177800</xdr:rowOff>
    </xdr:from>
    <xdr:to>
      <xdr:col>4</xdr:col>
      <xdr:colOff>381001</xdr:colOff>
      <xdr:row>143</xdr:row>
      <xdr:rowOff>158750</xdr:rowOff>
    </xdr:to>
    <xdr:sp macro="" textlink="">
      <xdr:nvSpPr>
        <xdr:cNvPr id="8" name="Left Brace 7">
          <a:extLst>
            <a:ext uri="{FF2B5EF4-FFF2-40B4-BE49-F238E27FC236}">
              <a16:creationId xmlns:a16="http://schemas.microsoft.com/office/drawing/2014/main" id="{1C48ED7D-8F8D-3847-A8C9-D7B215CA3555}"/>
            </a:ext>
          </a:extLst>
        </xdr:cNvPr>
        <xdr:cNvSpPr/>
      </xdr:nvSpPr>
      <xdr:spPr>
        <a:xfrm rot="16200000">
          <a:off x="13522040837" y="28427362"/>
          <a:ext cx="184150" cy="164782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190500</xdr:colOff>
      <xdr:row>144</xdr:row>
      <xdr:rowOff>174625</xdr:rowOff>
    </xdr:from>
    <xdr:to>
      <xdr:col>4</xdr:col>
      <xdr:colOff>196850</xdr:colOff>
      <xdr:row>146</xdr:row>
      <xdr:rowOff>57150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1EECFC23-C46B-2545-84AA-15A2287C6DB0}"/>
            </a:ext>
          </a:extLst>
        </xdr:cNvPr>
        <xdr:cNvCxnSpPr/>
      </xdr:nvCxnSpPr>
      <xdr:spPr>
        <a:xfrm>
          <a:off x="13521493150" y="29562425"/>
          <a:ext cx="6350" cy="2889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742950</xdr:colOff>
      <xdr:row>200</xdr:row>
      <xdr:rowOff>98425</xdr:rowOff>
    </xdr:from>
    <xdr:to>
      <xdr:col>5</xdr:col>
      <xdr:colOff>780055</xdr:colOff>
      <xdr:row>207</xdr:row>
      <xdr:rowOff>114300</xdr:rowOff>
    </xdr:to>
    <xdr:sp macro="" textlink="">
      <xdr:nvSpPr>
        <xdr:cNvPr id="10" name="Freeform 9">
          <a:extLst>
            <a:ext uri="{FF2B5EF4-FFF2-40B4-BE49-F238E27FC236}">
              <a16:creationId xmlns:a16="http://schemas.microsoft.com/office/drawing/2014/main" id="{F2DCC6AD-A323-F447-ADFF-6C834564D5C6}"/>
            </a:ext>
          </a:extLst>
        </xdr:cNvPr>
        <xdr:cNvSpPr/>
      </xdr:nvSpPr>
      <xdr:spPr>
        <a:xfrm>
          <a:off x="13520084445" y="40890825"/>
          <a:ext cx="2551705" cy="1463675"/>
        </a:xfrm>
        <a:custGeom>
          <a:avLst/>
          <a:gdLst>
            <a:gd name="connsiteX0" fmla="*/ 2488205 w 2488205"/>
            <a:gd name="connsiteY0" fmla="*/ 0 h 1463675"/>
            <a:gd name="connsiteX1" fmla="*/ 65680 w 2488205"/>
            <a:gd name="connsiteY1" fmla="*/ 501650 h 1463675"/>
            <a:gd name="connsiteX2" fmla="*/ 926105 w 2488205"/>
            <a:gd name="connsiteY2" fmla="*/ 1463675 h 14636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488205" h="1463675">
              <a:moveTo>
                <a:pt x="2488205" y="0"/>
              </a:moveTo>
              <a:cubicBezTo>
                <a:pt x="1407117" y="128852"/>
                <a:pt x="326030" y="257704"/>
                <a:pt x="65680" y="501650"/>
              </a:cubicBezTo>
              <a:cubicBezTo>
                <a:pt x="-194670" y="745596"/>
                <a:pt x="365717" y="1104635"/>
                <a:pt x="926105" y="1463675"/>
              </a:cubicBezTo>
            </a:path>
          </a:pathLst>
        </a:custGeom>
        <a:noFill/>
        <a:ln>
          <a:headEnd type="none" w="med" len="med"/>
          <a:tailEnd type="triangle" w="med" len="med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346075</xdr:colOff>
      <xdr:row>211</xdr:row>
      <xdr:rowOff>177800</xdr:rowOff>
    </xdr:from>
    <xdr:to>
      <xdr:col>4</xdr:col>
      <xdr:colOff>438150</xdr:colOff>
      <xdr:row>213</xdr:row>
      <xdr:rowOff>6350</xdr:rowOff>
    </xdr:to>
    <xdr:sp macro="" textlink="">
      <xdr:nvSpPr>
        <xdr:cNvPr id="11" name="Left Brace 10">
          <a:extLst>
            <a:ext uri="{FF2B5EF4-FFF2-40B4-BE49-F238E27FC236}">
              <a16:creationId xmlns:a16="http://schemas.microsoft.com/office/drawing/2014/main" id="{87B0B8ED-A38B-0E41-B66C-A56D336474CE}"/>
            </a:ext>
          </a:extLst>
        </xdr:cNvPr>
        <xdr:cNvSpPr/>
      </xdr:nvSpPr>
      <xdr:spPr>
        <a:xfrm rot="16200000">
          <a:off x="13522024963" y="42457687"/>
          <a:ext cx="234950" cy="17811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454025</xdr:colOff>
      <xdr:row>214</xdr:row>
      <xdr:rowOff>6350</xdr:rowOff>
    </xdr:from>
    <xdr:to>
      <xdr:col>3</xdr:col>
      <xdr:colOff>454025</xdr:colOff>
      <xdr:row>215</xdr:row>
      <xdr:rowOff>6350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08178413-3F6D-BD44-A257-1B759DE80B42}"/>
            </a:ext>
          </a:extLst>
        </xdr:cNvPr>
        <xdr:cNvCxnSpPr/>
      </xdr:nvCxnSpPr>
      <xdr:spPr>
        <a:xfrm>
          <a:off x="13522124975" y="43668950"/>
          <a:ext cx="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615950</xdr:colOff>
      <xdr:row>270</xdr:row>
      <xdr:rowOff>206375</xdr:rowOff>
    </xdr:from>
    <xdr:to>
      <xdr:col>7</xdr:col>
      <xdr:colOff>107950</xdr:colOff>
      <xdr:row>272</xdr:row>
      <xdr:rowOff>9525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63ED9FF-50A2-D046-BACB-7FEC7810B6AC}"/>
            </a:ext>
          </a:extLst>
        </xdr:cNvPr>
        <xdr:cNvCxnSpPr/>
      </xdr:nvCxnSpPr>
      <xdr:spPr>
        <a:xfrm flipH="1">
          <a:off x="13519105550" y="55337075"/>
          <a:ext cx="317500" cy="2222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736600</xdr:colOff>
      <xdr:row>270</xdr:row>
      <xdr:rowOff>193675</xdr:rowOff>
    </xdr:from>
    <xdr:to>
      <xdr:col>6</xdr:col>
      <xdr:colOff>158750</xdr:colOff>
      <xdr:row>273</xdr:row>
      <xdr:rowOff>31750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EF8F62CE-7D2F-2545-A388-2012550A9098}"/>
            </a:ext>
          </a:extLst>
        </xdr:cNvPr>
        <xdr:cNvCxnSpPr/>
      </xdr:nvCxnSpPr>
      <xdr:spPr>
        <a:xfrm flipH="1">
          <a:off x="13519880250" y="55324375"/>
          <a:ext cx="247650" cy="4603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615950</xdr:colOff>
      <xdr:row>291</xdr:row>
      <xdr:rowOff>174625</xdr:rowOff>
    </xdr:from>
    <xdr:to>
      <xdr:col>3</xdr:col>
      <xdr:colOff>723900</xdr:colOff>
      <xdr:row>294</xdr:row>
      <xdr:rowOff>57150</xdr:rowOff>
    </xdr:to>
    <xdr:sp macro="" textlink="">
      <xdr:nvSpPr>
        <xdr:cNvPr id="15" name="Left Brace 14">
          <a:extLst>
            <a:ext uri="{FF2B5EF4-FFF2-40B4-BE49-F238E27FC236}">
              <a16:creationId xmlns:a16="http://schemas.microsoft.com/office/drawing/2014/main" id="{BF72F1D8-56F8-874F-BB81-F6B3998496C4}"/>
            </a:ext>
          </a:extLst>
        </xdr:cNvPr>
        <xdr:cNvSpPr/>
      </xdr:nvSpPr>
      <xdr:spPr>
        <a:xfrm>
          <a:off x="13521855100" y="59661425"/>
          <a:ext cx="107950" cy="49212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796925</xdr:colOff>
      <xdr:row>292</xdr:row>
      <xdr:rowOff>88900</xdr:rowOff>
    </xdr:from>
    <xdr:to>
      <xdr:col>4</xdr:col>
      <xdr:colOff>774700</xdr:colOff>
      <xdr:row>293</xdr:row>
      <xdr:rowOff>120650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C9B50B25-7981-1A40-94F8-2CC85B800BD7}"/>
            </a:ext>
          </a:extLst>
        </xdr:cNvPr>
        <xdr:cNvSpPr/>
      </xdr:nvSpPr>
      <xdr:spPr>
        <a:xfrm>
          <a:off x="13520915300" y="59778900"/>
          <a:ext cx="866775" cy="2349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43,188</a:t>
          </a:r>
          <a:endParaRPr lang="en-US" sz="1100"/>
        </a:p>
      </xdr:txBody>
    </xdr:sp>
    <xdr:clientData/>
  </xdr:twoCellAnchor>
  <xdr:twoCellAnchor>
    <xdr:from>
      <xdr:col>3</xdr:col>
      <xdr:colOff>361950</xdr:colOff>
      <xdr:row>302</xdr:row>
      <xdr:rowOff>161924</xdr:rowOff>
    </xdr:from>
    <xdr:to>
      <xdr:col>5</xdr:col>
      <xdr:colOff>415925</xdr:colOff>
      <xdr:row>303</xdr:row>
      <xdr:rowOff>152399</xdr:rowOff>
    </xdr:to>
    <xdr:sp macro="" textlink="">
      <xdr:nvSpPr>
        <xdr:cNvPr id="17" name="Left Brace 16">
          <a:extLst>
            <a:ext uri="{FF2B5EF4-FFF2-40B4-BE49-F238E27FC236}">
              <a16:creationId xmlns:a16="http://schemas.microsoft.com/office/drawing/2014/main" id="{44EBC5C9-B42E-154F-A969-828A1395ED02}"/>
            </a:ext>
          </a:extLst>
        </xdr:cNvPr>
        <xdr:cNvSpPr/>
      </xdr:nvSpPr>
      <xdr:spPr>
        <a:xfrm rot="16200000">
          <a:off x="13521235975" y="61096524"/>
          <a:ext cx="193675" cy="17684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727075</xdr:colOff>
      <xdr:row>306</xdr:row>
      <xdr:rowOff>12700</xdr:rowOff>
    </xdr:from>
    <xdr:to>
      <xdr:col>5</xdr:col>
      <xdr:colOff>66675</xdr:colOff>
      <xdr:row>306</xdr:row>
      <xdr:rowOff>107950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7071F246-2793-C443-A151-072F67B24EDB}"/>
            </a:ext>
          </a:extLst>
        </xdr:cNvPr>
        <xdr:cNvCxnSpPr/>
      </xdr:nvCxnSpPr>
      <xdr:spPr>
        <a:xfrm>
          <a:off x="13520797825" y="62547500"/>
          <a:ext cx="1054100" cy="952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51314</xdr:colOff>
      <xdr:row>6</xdr:row>
      <xdr:rowOff>150597</xdr:rowOff>
    </xdr:from>
    <xdr:to>
      <xdr:col>4</xdr:col>
      <xdr:colOff>622172</xdr:colOff>
      <xdr:row>10</xdr:row>
      <xdr:rowOff>113361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484D5F-096A-939C-57CB-18B1A455B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00055100" y="1362870"/>
          <a:ext cx="3867727" cy="770946"/>
        </a:xfrm>
        <a:prstGeom prst="rect">
          <a:avLst/>
        </a:prstGeom>
      </xdr:spPr>
    </xdr:pic>
    <xdr:clientData/>
  </xdr:twoCellAnchor>
  <xdr:twoCellAnchor editAs="oneCell">
    <xdr:from>
      <xdr:col>0</xdr:col>
      <xdr:colOff>50969</xdr:colOff>
      <xdr:row>43</xdr:row>
      <xdr:rowOff>98277</xdr:rowOff>
    </xdr:from>
    <xdr:to>
      <xdr:col>4</xdr:col>
      <xdr:colOff>287101</xdr:colOff>
      <xdr:row>49</xdr:row>
      <xdr:rowOff>69474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A51E24-161D-09EC-6FA2-88028BFA1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9272473" y="8839660"/>
          <a:ext cx="3532728" cy="1187155"/>
        </a:xfrm>
        <a:prstGeom prst="rect">
          <a:avLst/>
        </a:prstGeom>
      </xdr:spPr>
    </xdr:pic>
    <xdr:clientData/>
  </xdr:twoCellAnchor>
  <xdr:twoCellAnchor>
    <xdr:from>
      <xdr:col>2</xdr:col>
      <xdr:colOff>209975</xdr:colOff>
      <xdr:row>43</xdr:row>
      <xdr:rowOff>94826</xdr:rowOff>
    </xdr:from>
    <xdr:to>
      <xdr:col>2</xdr:col>
      <xdr:colOff>338668</xdr:colOff>
      <xdr:row>44</xdr:row>
      <xdr:rowOff>125306</xdr:rowOff>
    </xdr:to>
    <xdr:sp macro="" textlink="">
      <xdr:nvSpPr>
        <xdr:cNvPr id="4" name="Rounded Rectangle 3">
          <a:extLst>
            <a:ext uri="{FF2B5EF4-FFF2-40B4-BE49-F238E27FC236}">
              <a16:creationId xmlns:a16="http://schemas.microsoft.com/office/drawing/2014/main" id="{774E6AAE-0C3B-FF20-CFD4-0346F693C9C5}"/>
            </a:ext>
          </a:extLst>
        </xdr:cNvPr>
        <xdr:cNvSpPr/>
      </xdr:nvSpPr>
      <xdr:spPr>
        <a:xfrm>
          <a:off x="13536872426" y="8886613"/>
          <a:ext cx="128693" cy="23368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en-US" sz="1100"/>
            <a:t>K</a:t>
          </a:r>
        </a:p>
      </xdr:txBody>
    </xdr:sp>
    <xdr:clientData/>
  </xdr:twoCellAnchor>
  <xdr:twoCellAnchor editAs="oneCell">
    <xdr:from>
      <xdr:col>8</xdr:col>
      <xdr:colOff>53086</xdr:colOff>
      <xdr:row>97</xdr:row>
      <xdr:rowOff>27265</xdr:rowOff>
    </xdr:from>
    <xdr:to>
      <xdr:col>10</xdr:col>
      <xdr:colOff>646799</xdr:colOff>
      <xdr:row>105</xdr:row>
      <xdr:rowOff>85752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11A7E90-1BC3-0E37-7B6D-B3B7DB9B5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6060467" y="19930738"/>
          <a:ext cx="2243488" cy="16919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265434</xdr:colOff>
      <xdr:row>64</xdr:row>
      <xdr:rowOff>88812</xdr:rowOff>
    </xdr:from>
    <xdr:to>
      <xdr:col>12</xdr:col>
      <xdr:colOff>218023</xdr:colOff>
      <xdr:row>79</xdr:row>
      <xdr:rowOff>100212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F3D1C06-362C-F03B-5BB1-FAFC922A4C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4839468" y="13229841"/>
          <a:ext cx="4077027" cy="3074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502283</xdr:colOff>
      <xdr:row>105</xdr:row>
      <xdr:rowOff>178387</xdr:rowOff>
    </xdr:from>
    <xdr:to>
      <xdr:col>11</xdr:col>
      <xdr:colOff>177189</xdr:colOff>
      <xdr:row>116</xdr:row>
      <xdr:rowOff>175593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15DD11-D359-36A0-EAFB-57AD5F9AA7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5705190" y="21715300"/>
          <a:ext cx="2974456" cy="2243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779968</xdr:colOff>
      <xdr:row>98</xdr:row>
      <xdr:rowOff>28585</xdr:rowOff>
    </xdr:from>
    <xdr:to>
      <xdr:col>7</xdr:col>
      <xdr:colOff>710546</xdr:colOff>
      <xdr:row>101</xdr:row>
      <xdr:rowOff>151093</xdr:rowOff>
    </xdr:to>
    <xdr:sp macro="" textlink="">
      <xdr:nvSpPr>
        <xdr:cNvPr id="8" name="Rounded Rectangular Callout 7">
          <a:extLst>
            <a:ext uri="{FF2B5EF4-FFF2-40B4-BE49-F238E27FC236}">
              <a16:creationId xmlns:a16="http://schemas.microsoft.com/office/drawing/2014/main" id="{CBE1DFC0-B6F4-A3FC-9910-E374F5B9BFAC}"/>
            </a:ext>
          </a:extLst>
        </xdr:cNvPr>
        <xdr:cNvSpPr/>
      </xdr:nvSpPr>
      <xdr:spPr>
        <a:xfrm>
          <a:off x="13508471383" y="20136238"/>
          <a:ext cx="1580353" cy="735048"/>
        </a:xfrm>
        <a:prstGeom prst="wedgeRoundRectCallout">
          <a:avLst>
            <a:gd name="adj1" fmla="val -62952"/>
            <a:gd name="adj2" fmla="val 49369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הדר שואל: האם ייתכן שערך הספרים יהיה</a:t>
          </a:r>
          <a:r>
            <a:rPr lang="he-IL" sz="1100" baseline="0"/>
            <a:t> שלילי?</a:t>
          </a:r>
          <a:endParaRPr lang="en-US" sz="1100"/>
        </a:p>
      </xdr:txBody>
    </xdr:sp>
    <xdr:clientData/>
  </xdr:twoCellAnchor>
  <xdr:twoCellAnchor>
    <xdr:from>
      <xdr:col>5</xdr:col>
      <xdr:colOff>387942</xdr:colOff>
      <xdr:row>108</xdr:row>
      <xdr:rowOff>65339</xdr:rowOff>
    </xdr:from>
    <xdr:to>
      <xdr:col>7</xdr:col>
      <xdr:colOff>318520</xdr:colOff>
      <xdr:row>111</xdr:row>
      <xdr:rowOff>187846</xdr:rowOff>
    </xdr:to>
    <xdr:sp macro="" textlink="">
      <xdr:nvSpPr>
        <xdr:cNvPr id="9" name="Rounded Rectangular Callout 8">
          <a:extLst>
            <a:ext uri="{FF2B5EF4-FFF2-40B4-BE49-F238E27FC236}">
              <a16:creationId xmlns:a16="http://schemas.microsoft.com/office/drawing/2014/main" id="{90CD8376-A001-B5FE-4293-6B02975CAE70}"/>
            </a:ext>
          </a:extLst>
        </xdr:cNvPr>
        <xdr:cNvSpPr/>
      </xdr:nvSpPr>
      <xdr:spPr>
        <a:xfrm>
          <a:off x="13508863409" y="22214792"/>
          <a:ext cx="1580353" cy="735048"/>
        </a:xfrm>
        <a:prstGeom prst="wedgeRoundRectCallout">
          <a:avLst>
            <a:gd name="adj1" fmla="val -62952"/>
            <a:gd name="adj2" fmla="val 49369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עיליי תוהה:</a:t>
          </a:r>
          <a:r>
            <a:rPr lang="he-IL" sz="1100" baseline="0"/>
            <a:t> מה הקשר לשאלה שלך? למה זה קשור?</a:t>
          </a:r>
          <a:endParaRPr lang="en-US" sz="1100"/>
        </a:p>
      </xdr:txBody>
    </xdr:sp>
    <xdr:clientData/>
  </xdr:twoCellAnchor>
  <xdr:twoCellAnchor>
    <xdr:from>
      <xdr:col>5</xdr:col>
      <xdr:colOff>44919</xdr:colOff>
      <xdr:row>103</xdr:row>
      <xdr:rowOff>191929</xdr:rowOff>
    </xdr:from>
    <xdr:to>
      <xdr:col>5</xdr:col>
      <xdr:colOff>751382</xdr:colOff>
      <xdr:row>105</xdr:row>
      <xdr:rowOff>61254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1766AEEC-2EC1-3FBD-BD6D-B3640238018B}"/>
            </a:ext>
          </a:extLst>
        </xdr:cNvPr>
        <xdr:cNvCxnSpPr/>
      </xdr:nvCxnSpPr>
      <xdr:spPr>
        <a:xfrm>
          <a:off x="13510080322" y="21320482"/>
          <a:ext cx="706463" cy="2776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808552</xdr:colOff>
      <xdr:row>104</xdr:row>
      <xdr:rowOff>106174</xdr:rowOff>
    </xdr:from>
    <xdr:to>
      <xdr:col>5</xdr:col>
      <xdr:colOff>796302</xdr:colOff>
      <xdr:row>105</xdr:row>
      <xdr:rowOff>20418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F9A02C5-9230-8F95-746D-3368E97F1147}"/>
            </a:ext>
          </a:extLst>
        </xdr:cNvPr>
        <xdr:cNvCxnSpPr/>
      </xdr:nvCxnSpPr>
      <xdr:spPr>
        <a:xfrm flipV="1">
          <a:off x="13510035402" y="21438907"/>
          <a:ext cx="812637" cy="11842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40836</xdr:colOff>
      <xdr:row>106</xdr:row>
      <xdr:rowOff>130675</xdr:rowOff>
    </xdr:from>
    <xdr:to>
      <xdr:col>5</xdr:col>
      <xdr:colOff>747299</xdr:colOff>
      <xdr:row>107</xdr:row>
      <xdr:rowOff>204180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C8B0867-9EFD-E968-ECDE-91D36424ABB9}"/>
            </a:ext>
          </a:extLst>
        </xdr:cNvPr>
        <xdr:cNvCxnSpPr/>
      </xdr:nvCxnSpPr>
      <xdr:spPr>
        <a:xfrm>
          <a:off x="13510084405" y="21871768"/>
          <a:ext cx="706463" cy="2776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804469</xdr:colOff>
      <xdr:row>107</xdr:row>
      <xdr:rowOff>44920</xdr:rowOff>
    </xdr:from>
    <xdr:to>
      <xdr:col>5</xdr:col>
      <xdr:colOff>792219</xdr:colOff>
      <xdr:row>107</xdr:row>
      <xdr:rowOff>163344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2ECD5148-4A8B-E0A0-4BFC-95EB3953CE50}"/>
            </a:ext>
          </a:extLst>
        </xdr:cNvPr>
        <xdr:cNvCxnSpPr/>
      </xdr:nvCxnSpPr>
      <xdr:spPr>
        <a:xfrm flipV="1">
          <a:off x="13510039485" y="21990193"/>
          <a:ext cx="812637" cy="11842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121888</xdr:colOff>
      <xdr:row>193</xdr:row>
      <xdr:rowOff>114675</xdr:rowOff>
    </xdr:from>
    <xdr:to>
      <xdr:col>7</xdr:col>
      <xdr:colOff>724528</xdr:colOff>
      <xdr:row>211</xdr:row>
      <xdr:rowOff>3931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EED15C3-3FA9-21CC-DCD2-9CCC0A443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1708599" y="39693065"/>
          <a:ext cx="4731123" cy="3569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401580</xdr:colOff>
      <xdr:row>218</xdr:row>
      <xdr:rowOff>75296</xdr:rowOff>
    </xdr:from>
    <xdr:to>
      <xdr:col>7</xdr:col>
      <xdr:colOff>466837</xdr:colOff>
      <xdr:row>218</xdr:row>
      <xdr:rowOff>100395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460F10E9-992B-AB49-BB52-2A577920633D}"/>
            </a:ext>
          </a:extLst>
        </xdr:cNvPr>
        <xdr:cNvCxnSpPr/>
      </xdr:nvCxnSpPr>
      <xdr:spPr>
        <a:xfrm flipV="1">
          <a:off x="13518746663" y="21271596"/>
          <a:ext cx="5843757" cy="2509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381499</xdr:colOff>
      <xdr:row>218</xdr:row>
      <xdr:rowOff>77807</xdr:rowOff>
    </xdr:from>
    <xdr:to>
      <xdr:col>7</xdr:col>
      <xdr:colOff>313734</xdr:colOff>
      <xdr:row>219</xdr:row>
      <xdr:rowOff>65256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DC9DA8BD-FC9B-084F-A7BE-BBF18558B7C5}"/>
            </a:ext>
          </a:extLst>
        </xdr:cNvPr>
        <xdr:cNvSpPr/>
      </xdr:nvSpPr>
      <xdr:spPr>
        <a:xfrm rot="16200000">
          <a:off x="13520008809" y="20165064"/>
          <a:ext cx="190649" cy="240873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361423</xdr:colOff>
      <xdr:row>218</xdr:row>
      <xdr:rowOff>50198</xdr:rowOff>
    </xdr:from>
    <xdr:to>
      <xdr:col>4</xdr:col>
      <xdr:colOff>371462</xdr:colOff>
      <xdr:row>223</xdr:row>
      <xdr:rowOff>155612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722A045B-0A70-B94F-9A99-765850A91DA5}"/>
            </a:ext>
          </a:extLst>
        </xdr:cNvPr>
        <xdr:cNvCxnSpPr/>
      </xdr:nvCxnSpPr>
      <xdr:spPr>
        <a:xfrm flipH="1">
          <a:off x="13521318538" y="21246498"/>
          <a:ext cx="10039" cy="112141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376476</xdr:colOff>
      <xdr:row>218</xdr:row>
      <xdr:rowOff>57728</xdr:rowOff>
    </xdr:from>
    <xdr:to>
      <xdr:col>4</xdr:col>
      <xdr:colOff>308712</xdr:colOff>
      <xdr:row>219</xdr:row>
      <xdr:rowOff>45177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93D5C06E-138C-1E49-9DBA-31C791C69DA5}"/>
            </a:ext>
          </a:extLst>
        </xdr:cNvPr>
        <xdr:cNvSpPr/>
      </xdr:nvSpPr>
      <xdr:spPr>
        <a:xfrm rot="16200000">
          <a:off x="13522490331" y="20144985"/>
          <a:ext cx="190649" cy="2408736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89703</xdr:colOff>
      <xdr:row>292</xdr:row>
      <xdr:rowOff>108587</xdr:rowOff>
    </xdr:from>
    <xdr:to>
      <xdr:col>8</xdr:col>
      <xdr:colOff>774276</xdr:colOff>
      <xdr:row>292</xdr:row>
      <xdr:rowOff>132193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A950D68C-8AFC-FA43-8E6E-C5BA693CFF49}"/>
            </a:ext>
          </a:extLst>
        </xdr:cNvPr>
        <xdr:cNvCxnSpPr/>
      </xdr:nvCxnSpPr>
      <xdr:spPr>
        <a:xfrm flipV="1">
          <a:off x="13517613724" y="36989387"/>
          <a:ext cx="6463073" cy="2360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306878</xdr:colOff>
      <xdr:row>290</xdr:row>
      <xdr:rowOff>37244</xdr:rowOff>
    </xdr:from>
    <xdr:to>
      <xdr:col>8</xdr:col>
      <xdr:colOff>486283</xdr:colOff>
      <xdr:row>291</xdr:row>
      <xdr:rowOff>37769</xdr:rowOff>
    </xdr:to>
    <xdr:sp macro="" textlink="">
      <xdr:nvSpPr>
        <xdr:cNvPr id="13" name="Freeform 12">
          <a:extLst>
            <a:ext uri="{FF2B5EF4-FFF2-40B4-BE49-F238E27FC236}">
              <a16:creationId xmlns:a16="http://schemas.microsoft.com/office/drawing/2014/main" id="{A76A6ECA-E58F-954B-9B88-CDCC6DA68952}"/>
            </a:ext>
          </a:extLst>
        </xdr:cNvPr>
        <xdr:cNvSpPr/>
      </xdr:nvSpPr>
      <xdr:spPr>
        <a:xfrm>
          <a:off x="13517901717" y="36511644"/>
          <a:ext cx="1830405" cy="203725"/>
        </a:xfrm>
        <a:custGeom>
          <a:avLst/>
          <a:gdLst>
            <a:gd name="connsiteX0" fmla="*/ 0 w 1831821"/>
            <a:gd name="connsiteY0" fmla="*/ 156324 h 203536"/>
            <a:gd name="connsiteX1" fmla="*/ 1033940 w 1831821"/>
            <a:gd name="connsiteY1" fmla="*/ 525 h 203536"/>
            <a:gd name="connsiteX2" fmla="*/ 1831821 w 1831821"/>
            <a:gd name="connsiteY2" fmla="*/ 203536 h 2035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31821" h="203536">
              <a:moveTo>
                <a:pt x="0" y="156324"/>
              </a:moveTo>
              <a:cubicBezTo>
                <a:pt x="364318" y="74490"/>
                <a:pt x="728637" y="-7344"/>
                <a:pt x="1033940" y="525"/>
              </a:cubicBezTo>
              <a:cubicBezTo>
                <a:pt x="1339243" y="8394"/>
                <a:pt x="1585532" y="105965"/>
                <a:pt x="1831821" y="203536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75539</xdr:colOff>
      <xdr:row>290</xdr:row>
      <xdr:rowOff>60850</xdr:rowOff>
    </xdr:from>
    <xdr:to>
      <xdr:col>6</xdr:col>
      <xdr:colOff>254944</xdr:colOff>
      <xdr:row>291</xdr:row>
      <xdr:rowOff>61375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9EEA4D1A-1CCC-4746-9DA5-C9C267DB0AB9}"/>
            </a:ext>
          </a:extLst>
        </xdr:cNvPr>
        <xdr:cNvSpPr/>
      </xdr:nvSpPr>
      <xdr:spPr>
        <a:xfrm>
          <a:off x="13519784056" y="36535250"/>
          <a:ext cx="1830405" cy="203725"/>
        </a:xfrm>
        <a:custGeom>
          <a:avLst/>
          <a:gdLst>
            <a:gd name="connsiteX0" fmla="*/ 0 w 1831821"/>
            <a:gd name="connsiteY0" fmla="*/ 156324 h 203536"/>
            <a:gd name="connsiteX1" fmla="*/ 1033940 w 1831821"/>
            <a:gd name="connsiteY1" fmla="*/ 525 h 203536"/>
            <a:gd name="connsiteX2" fmla="*/ 1831821 w 1831821"/>
            <a:gd name="connsiteY2" fmla="*/ 203536 h 2035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31821" h="203536">
              <a:moveTo>
                <a:pt x="0" y="156324"/>
              </a:moveTo>
              <a:cubicBezTo>
                <a:pt x="364318" y="74490"/>
                <a:pt x="728637" y="-7344"/>
                <a:pt x="1033940" y="525"/>
              </a:cubicBezTo>
              <a:cubicBezTo>
                <a:pt x="1339243" y="8394"/>
                <a:pt x="1585532" y="105965"/>
                <a:pt x="1831821" y="203536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80260</xdr:colOff>
      <xdr:row>290</xdr:row>
      <xdr:rowOff>8916</xdr:rowOff>
    </xdr:from>
    <xdr:to>
      <xdr:col>4</xdr:col>
      <xdr:colOff>259664</xdr:colOff>
      <xdr:row>291</xdr:row>
      <xdr:rowOff>9441</xdr:rowOff>
    </xdr:to>
    <xdr:sp macro="" textlink="">
      <xdr:nvSpPr>
        <xdr:cNvPr id="17" name="Freeform 16">
          <a:extLst>
            <a:ext uri="{FF2B5EF4-FFF2-40B4-BE49-F238E27FC236}">
              <a16:creationId xmlns:a16="http://schemas.microsoft.com/office/drawing/2014/main" id="{E5243057-0E26-324E-9772-BB29EA64C338}"/>
            </a:ext>
          </a:extLst>
        </xdr:cNvPr>
        <xdr:cNvSpPr/>
      </xdr:nvSpPr>
      <xdr:spPr>
        <a:xfrm>
          <a:off x="13521430336" y="36483316"/>
          <a:ext cx="1830404" cy="203725"/>
        </a:xfrm>
        <a:custGeom>
          <a:avLst/>
          <a:gdLst>
            <a:gd name="connsiteX0" fmla="*/ 0 w 1831821"/>
            <a:gd name="connsiteY0" fmla="*/ 156324 h 203536"/>
            <a:gd name="connsiteX1" fmla="*/ 1033940 w 1831821"/>
            <a:gd name="connsiteY1" fmla="*/ 525 h 203536"/>
            <a:gd name="connsiteX2" fmla="*/ 1831821 w 1831821"/>
            <a:gd name="connsiteY2" fmla="*/ 203536 h 2035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31821" h="203536">
              <a:moveTo>
                <a:pt x="0" y="156324"/>
              </a:moveTo>
              <a:cubicBezTo>
                <a:pt x="364318" y="74490"/>
                <a:pt x="728637" y="-7344"/>
                <a:pt x="1033940" y="525"/>
              </a:cubicBezTo>
              <a:cubicBezTo>
                <a:pt x="1339243" y="8394"/>
                <a:pt x="1585532" y="105965"/>
                <a:pt x="1831821" y="203536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297437</xdr:colOff>
      <xdr:row>292</xdr:row>
      <xdr:rowOff>92062</xdr:rowOff>
    </xdr:from>
    <xdr:to>
      <xdr:col>8</xdr:col>
      <xdr:colOff>488644</xdr:colOff>
      <xdr:row>293</xdr:row>
      <xdr:rowOff>75538</xdr:rowOff>
    </xdr:to>
    <xdr:sp macro="" textlink="">
      <xdr:nvSpPr>
        <xdr:cNvPr id="18" name="Left Brace 17">
          <a:extLst>
            <a:ext uri="{FF2B5EF4-FFF2-40B4-BE49-F238E27FC236}">
              <a16:creationId xmlns:a16="http://schemas.microsoft.com/office/drawing/2014/main" id="{D98D1AF2-8E96-0A4F-A89A-4A40C0549C58}"/>
            </a:ext>
          </a:extLst>
        </xdr:cNvPr>
        <xdr:cNvSpPr/>
      </xdr:nvSpPr>
      <xdr:spPr>
        <a:xfrm rot="16200000">
          <a:off x="13518314372" y="36557846"/>
          <a:ext cx="186676" cy="1016707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335205</xdr:colOff>
      <xdr:row>292</xdr:row>
      <xdr:rowOff>92061</xdr:rowOff>
    </xdr:from>
    <xdr:to>
      <xdr:col>7</xdr:col>
      <xdr:colOff>271470</xdr:colOff>
      <xdr:row>293</xdr:row>
      <xdr:rowOff>61375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5F97932E-4DA3-0B4D-9B67-20240A88D2C4}"/>
            </a:ext>
          </a:extLst>
        </xdr:cNvPr>
        <xdr:cNvSpPr/>
      </xdr:nvSpPr>
      <xdr:spPr>
        <a:xfrm rot="16200000">
          <a:off x="13519236656" y="36678235"/>
          <a:ext cx="172514" cy="76176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354090</xdr:colOff>
      <xdr:row>292</xdr:row>
      <xdr:rowOff>96782</xdr:rowOff>
    </xdr:from>
    <xdr:to>
      <xdr:col>6</xdr:col>
      <xdr:colOff>290355</xdr:colOff>
      <xdr:row>293</xdr:row>
      <xdr:rowOff>66096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7B2A48B1-4A22-3B4D-B37C-329D276D40D1}"/>
            </a:ext>
          </a:extLst>
        </xdr:cNvPr>
        <xdr:cNvSpPr/>
      </xdr:nvSpPr>
      <xdr:spPr>
        <a:xfrm rot="16200000">
          <a:off x="13520043271" y="36682956"/>
          <a:ext cx="172514" cy="76176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722343</xdr:colOff>
      <xdr:row>293</xdr:row>
      <xdr:rowOff>132193</xdr:rowOff>
    </xdr:from>
    <xdr:to>
      <xdr:col>6</xdr:col>
      <xdr:colOff>727064</xdr:colOff>
      <xdr:row>298</xdr:row>
      <xdr:rowOff>174684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AC95E256-2888-2047-B3A0-11B7AEB2B802}"/>
            </a:ext>
          </a:extLst>
        </xdr:cNvPr>
        <xdr:cNvCxnSpPr/>
      </xdr:nvCxnSpPr>
      <xdr:spPr>
        <a:xfrm flipH="1">
          <a:off x="13519311936" y="37216193"/>
          <a:ext cx="4721" cy="105849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731785</xdr:colOff>
      <xdr:row>293</xdr:row>
      <xdr:rowOff>66097</xdr:rowOff>
    </xdr:from>
    <xdr:to>
      <xdr:col>5</xdr:col>
      <xdr:colOff>736507</xdr:colOff>
      <xdr:row>295</xdr:row>
      <xdr:rowOff>94425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1A900079-6BF3-3843-BBE1-043E86E82712}"/>
            </a:ext>
          </a:extLst>
        </xdr:cNvPr>
        <xdr:cNvCxnSpPr/>
      </xdr:nvCxnSpPr>
      <xdr:spPr>
        <a:xfrm>
          <a:off x="13520127993" y="37150097"/>
          <a:ext cx="4722" cy="43472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382417</xdr:colOff>
      <xdr:row>292</xdr:row>
      <xdr:rowOff>87339</xdr:rowOff>
    </xdr:from>
    <xdr:to>
      <xdr:col>5</xdr:col>
      <xdr:colOff>318682</xdr:colOff>
      <xdr:row>293</xdr:row>
      <xdr:rowOff>56653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4C907CB9-7160-3045-98C3-318EDEDDF0BD}"/>
            </a:ext>
          </a:extLst>
        </xdr:cNvPr>
        <xdr:cNvSpPr/>
      </xdr:nvSpPr>
      <xdr:spPr>
        <a:xfrm rot="16200000">
          <a:off x="13520840444" y="36673513"/>
          <a:ext cx="172514" cy="76176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363532</xdr:colOff>
      <xdr:row>292</xdr:row>
      <xdr:rowOff>92061</xdr:rowOff>
    </xdr:from>
    <xdr:to>
      <xdr:col>4</xdr:col>
      <xdr:colOff>299797</xdr:colOff>
      <xdr:row>293</xdr:row>
      <xdr:rowOff>61375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142EF85E-571F-A444-8813-BC1454A9C539}"/>
            </a:ext>
          </a:extLst>
        </xdr:cNvPr>
        <xdr:cNvSpPr/>
      </xdr:nvSpPr>
      <xdr:spPr>
        <a:xfrm rot="16200000">
          <a:off x="13521684829" y="36678235"/>
          <a:ext cx="172514" cy="76176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448513</xdr:colOff>
      <xdr:row>293</xdr:row>
      <xdr:rowOff>61376</xdr:rowOff>
    </xdr:from>
    <xdr:to>
      <xdr:col>4</xdr:col>
      <xdr:colOff>769554</xdr:colOff>
      <xdr:row>298</xdr:row>
      <xdr:rowOff>51933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512FC855-B0D8-F241-9EB2-94F64254E7C6}"/>
            </a:ext>
          </a:extLst>
        </xdr:cNvPr>
        <xdr:cNvCxnSpPr/>
      </xdr:nvCxnSpPr>
      <xdr:spPr>
        <a:xfrm>
          <a:off x="13520920446" y="37145376"/>
          <a:ext cx="1146541" cy="10065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694016</xdr:colOff>
      <xdr:row>293</xdr:row>
      <xdr:rowOff>51933</xdr:rowOff>
    </xdr:from>
    <xdr:to>
      <xdr:col>3</xdr:col>
      <xdr:colOff>736505</xdr:colOff>
      <xdr:row>294</xdr:row>
      <xdr:rowOff>122751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EE940B9E-52D7-4849-AEEE-635FFD9A330D}"/>
            </a:ext>
          </a:extLst>
        </xdr:cNvPr>
        <xdr:cNvCxnSpPr/>
      </xdr:nvCxnSpPr>
      <xdr:spPr>
        <a:xfrm>
          <a:off x="13521778995" y="37135933"/>
          <a:ext cx="867989" cy="2740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141861</xdr:colOff>
      <xdr:row>302</xdr:row>
      <xdr:rowOff>113150</xdr:rowOff>
    </xdr:from>
    <xdr:to>
      <xdr:col>2</xdr:col>
      <xdr:colOff>238462</xdr:colOff>
      <xdr:row>311</xdr:row>
      <xdr:rowOff>38369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DF4A7A0-760E-FD46-B86B-5E7FDF9EF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3102538" y="39025950"/>
          <a:ext cx="1747601" cy="1754019"/>
        </a:xfrm>
        <a:prstGeom prst="rect">
          <a:avLst/>
        </a:prstGeom>
      </xdr:spPr>
    </xdr:pic>
    <xdr:clientData/>
  </xdr:twoCellAnchor>
  <xdr:twoCellAnchor>
    <xdr:from>
      <xdr:col>1</xdr:col>
      <xdr:colOff>698500</xdr:colOff>
      <xdr:row>411</xdr:row>
      <xdr:rowOff>177800</xdr:rowOff>
    </xdr:from>
    <xdr:to>
      <xdr:col>2</xdr:col>
      <xdr:colOff>19050</xdr:colOff>
      <xdr:row>414</xdr:row>
      <xdr:rowOff>53975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1E75813D-BF88-BC4C-8CCC-BF166D703990}"/>
            </a:ext>
          </a:extLst>
        </xdr:cNvPr>
        <xdr:cNvSpPr/>
      </xdr:nvSpPr>
      <xdr:spPr>
        <a:xfrm>
          <a:off x="13523321950" y="61290200"/>
          <a:ext cx="146050" cy="485775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733425</xdr:colOff>
      <xdr:row>414</xdr:row>
      <xdr:rowOff>57151</xdr:rowOff>
    </xdr:from>
    <xdr:to>
      <xdr:col>2</xdr:col>
      <xdr:colOff>0</xdr:colOff>
      <xdr:row>415</xdr:row>
      <xdr:rowOff>19051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BAAF40FB-086C-624D-8055-C69BE3EC324F}"/>
            </a:ext>
          </a:extLst>
        </xdr:cNvPr>
        <xdr:cNvSpPr/>
      </xdr:nvSpPr>
      <xdr:spPr>
        <a:xfrm>
          <a:off x="13523341000" y="61779151"/>
          <a:ext cx="92075" cy="1651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412750</xdr:colOff>
      <xdr:row>411</xdr:row>
      <xdr:rowOff>174625</xdr:rowOff>
    </xdr:from>
    <xdr:to>
      <xdr:col>5</xdr:col>
      <xdr:colOff>558800</xdr:colOff>
      <xdr:row>414</xdr:row>
      <xdr:rowOff>50800</xdr:rowOff>
    </xdr:to>
    <xdr:sp macro="" textlink="">
      <xdr:nvSpPr>
        <xdr:cNvPr id="35" name="Right Brace 34">
          <a:extLst>
            <a:ext uri="{FF2B5EF4-FFF2-40B4-BE49-F238E27FC236}">
              <a16:creationId xmlns:a16="http://schemas.microsoft.com/office/drawing/2014/main" id="{41ED0712-6F92-D84B-AD67-02B36EE569CF}"/>
            </a:ext>
          </a:extLst>
        </xdr:cNvPr>
        <xdr:cNvSpPr/>
      </xdr:nvSpPr>
      <xdr:spPr>
        <a:xfrm rot="10800000">
          <a:off x="13520305700" y="61287025"/>
          <a:ext cx="146050" cy="485775"/>
        </a:xfrm>
        <a:prstGeom prst="rightBrace">
          <a:avLst>
            <a:gd name="adj1" fmla="val 8333"/>
            <a:gd name="adj2" fmla="val 3823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434975</xdr:colOff>
      <xdr:row>414</xdr:row>
      <xdr:rowOff>63501</xdr:rowOff>
    </xdr:from>
    <xdr:to>
      <xdr:col>5</xdr:col>
      <xdr:colOff>527050</xdr:colOff>
      <xdr:row>415</xdr:row>
      <xdr:rowOff>25401</xdr:rowOff>
    </xdr:to>
    <xdr:sp macro="" textlink="">
      <xdr:nvSpPr>
        <xdr:cNvPr id="36" name="Right Brace 35">
          <a:extLst>
            <a:ext uri="{FF2B5EF4-FFF2-40B4-BE49-F238E27FC236}">
              <a16:creationId xmlns:a16="http://schemas.microsoft.com/office/drawing/2014/main" id="{3D01EC6B-DF59-DE42-BC62-E658ED255EB8}"/>
            </a:ext>
          </a:extLst>
        </xdr:cNvPr>
        <xdr:cNvSpPr/>
      </xdr:nvSpPr>
      <xdr:spPr>
        <a:xfrm rot="10800000">
          <a:off x="13520337450" y="61785501"/>
          <a:ext cx="92075" cy="1651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76200</xdr:colOff>
      <xdr:row>402</xdr:row>
      <xdr:rowOff>133350</xdr:rowOff>
    </xdr:from>
    <xdr:to>
      <xdr:col>7</xdr:col>
      <xdr:colOff>527050</xdr:colOff>
      <xdr:row>402</xdr:row>
      <xdr:rowOff>139700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95F1D86C-BB9B-584F-B268-8F4701F624BD}"/>
            </a:ext>
          </a:extLst>
        </xdr:cNvPr>
        <xdr:cNvCxnSpPr/>
      </xdr:nvCxnSpPr>
      <xdr:spPr>
        <a:xfrm flipH="1">
          <a:off x="13518686450" y="59391550"/>
          <a:ext cx="450850" cy="63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520700</xdr:colOff>
      <xdr:row>402</xdr:row>
      <xdr:rowOff>139700</xdr:rowOff>
    </xdr:from>
    <xdr:to>
      <xdr:col>7</xdr:col>
      <xdr:colOff>542925</xdr:colOff>
      <xdr:row>413</xdr:row>
      <xdr:rowOff>130175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1BA7A09A-63EC-C440-8743-FC546B7413CC}"/>
            </a:ext>
          </a:extLst>
        </xdr:cNvPr>
        <xdr:cNvCxnSpPr/>
      </xdr:nvCxnSpPr>
      <xdr:spPr>
        <a:xfrm flipV="1">
          <a:off x="13518670575" y="59397900"/>
          <a:ext cx="22225" cy="22510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619125</xdr:colOff>
      <xdr:row>413</xdr:row>
      <xdr:rowOff>79375</xdr:rowOff>
    </xdr:from>
    <xdr:to>
      <xdr:col>7</xdr:col>
      <xdr:colOff>539750</xdr:colOff>
      <xdr:row>413</xdr:row>
      <xdr:rowOff>114300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00CE4935-08D0-3A4A-A889-9559B5056926}"/>
            </a:ext>
          </a:extLst>
        </xdr:cNvPr>
        <xdr:cNvCxnSpPr/>
      </xdr:nvCxnSpPr>
      <xdr:spPr>
        <a:xfrm flipH="1">
          <a:off x="13518673750" y="61598175"/>
          <a:ext cx="1571625" cy="349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415925</xdr:colOff>
      <xdr:row>416</xdr:row>
      <xdr:rowOff>120650</xdr:rowOff>
    </xdr:from>
    <xdr:to>
      <xdr:col>6</xdr:col>
      <xdr:colOff>346075</xdr:colOff>
      <xdr:row>416</xdr:row>
      <xdr:rowOff>133350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C131BF0E-52EE-D742-8F4D-51B4878569A7}"/>
            </a:ext>
          </a:extLst>
        </xdr:cNvPr>
        <xdr:cNvCxnSpPr/>
      </xdr:nvCxnSpPr>
      <xdr:spPr>
        <a:xfrm flipH="1">
          <a:off x="13519692925" y="62249050"/>
          <a:ext cx="2406650" cy="127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327025</xdr:colOff>
      <xdr:row>414</xdr:row>
      <xdr:rowOff>136525</xdr:rowOff>
    </xdr:from>
    <xdr:to>
      <xdr:col>6</xdr:col>
      <xdr:colOff>336550</xdr:colOff>
      <xdr:row>416</xdr:row>
      <xdr:rowOff>136525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299E4B23-E69F-3B4C-BDCD-08085CFCB16C}"/>
            </a:ext>
          </a:extLst>
        </xdr:cNvPr>
        <xdr:cNvCxnSpPr/>
      </xdr:nvCxnSpPr>
      <xdr:spPr>
        <a:xfrm flipV="1">
          <a:off x="13519702450" y="61858525"/>
          <a:ext cx="9525" cy="4064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631825</xdr:colOff>
      <xdr:row>414</xdr:row>
      <xdr:rowOff>127000</xdr:rowOff>
    </xdr:from>
    <xdr:to>
      <xdr:col>6</xdr:col>
      <xdr:colOff>330200</xdr:colOff>
      <xdr:row>414</xdr:row>
      <xdr:rowOff>139700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C06BE185-0BF8-2644-BA77-D97B6D2B531A}"/>
            </a:ext>
          </a:extLst>
        </xdr:cNvPr>
        <xdr:cNvCxnSpPr/>
      </xdr:nvCxnSpPr>
      <xdr:spPr>
        <a:xfrm flipH="1">
          <a:off x="13519708800" y="61849000"/>
          <a:ext cx="523875" cy="127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202045</xdr:rowOff>
    </xdr:from>
    <xdr:to>
      <xdr:col>5</xdr:col>
      <xdr:colOff>288636</xdr:colOff>
      <xdr:row>13</xdr:row>
      <xdr:rowOff>64674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7F366D6-E5B5-223A-0044-84F9DC441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07068506" y="606136"/>
          <a:ext cx="4412012" cy="2085129"/>
        </a:xfrm>
        <a:prstGeom prst="rect">
          <a:avLst/>
        </a:prstGeom>
      </xdr:spPr>
    </xdr:pic>
    <xdr:clientData/>
  </xdr:twoCellAnchor>
  <xdr:twoCellAnchor>
    <xdr:from>
      <xdr:col>5</xdr:col>
      <xdr:colOff>160421</xdr:colOff>
      <xdr:row>3</xdr:row>
      <xdr:rowOff>167105</xdr:rowOff>
    </xdr:from>
    <xdr:to>
      <xdr:col>9</xdr:col>
      <xdr:colOff>556795</xdr:colOff>
      <xdr:row>11</xdr:row>
      <xdr:rowOff>125631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451FA17-1DDC-F732-4663-21D85AA37EDD}"/>
            </a:ext>
          </a:extLst>
        </xdr:cNvPr>
        <xdr:cNvGrpSpPr/>
      </xdr:nvGrpSpPr>
      <xdr:grpSpPr>
        <a:xfrm>
          <a:off x="13527100972" y="777445"/>
          <a:ext cx="3700840" cy="1586099"/>
          <a:chOff x="13517837889" y="739072"/>
          <a:chExt cx="4934953" cy="2180560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E86032C0-51DA-D601-1ED1-FE94987F33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3517837889" y="739072"/>
            <a:ext cx="4934953" cy="2180560"/>
          </a:xfrm>
          <a:prstGeom prst="rect">
            <a:avLst/>
          </a:prstGeom>
        </xdr:spPr>
      </xdr:pic>
      <xdr:sp macro="" textlink="">
        <xdr:nvSpPr>
          <xdr:cNvPr id="4" name="Round Same Side Corner Rectangle 3">
            <a:extLst>
              <a:ext uri="{FF2B5EF4-FFF2-40B4-BE49-F238E27FC236}">
                <a16:creationId xmlns:a16="http://schemas.microsoft.com/office/drawing/2014/main" id="{F78E36DF-1031-47A5-1C34-8324EF194100}"/>
              </a:ext>
            </a:extLst>
          </xdr:cNvPr>
          <xdr:cNvSpPr/>
        </xdr:nvSpPr>
        <xdr:spPr>
          <a:xfrm>
            <a:off x="13517933474" y="1961816"/>
            <a:ext cx="3696368" cy="681789"/>
          </a:xfrm>
          <a:prstGeom prst="round2Same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sp macro="" textlink="">
        <xdr:nvSpPr>
          <xdr:cNvPr id="5" name="Round Same Side Corner Rectangle 4">
            <a:extLst>
              <a:ext uri="{FF2B5EF4-FFF2-40B4-BE49-F238E27FC236}">
                <a16:creationId xmlns:a16="http://schemas.microsoft.com/office/drawing/2014/main" id="{0BA0579E-259E-6849-BDC4-FE7BE2F37C22}"/>
              </a:ext>
            </a:extLst>
          </xdr:cNvPr>
          <xdr:cNvSpPr/>
        </xdr:nvSpPr>
        <xdr:spPr>
          <a:xfrm>
            <a:off x="13520630552" y="2620210"/>
            <a:ext cx="1554079" cy="233948"/>
          </a:xfrm>
          <a:prstGeom prst="round2SameRect">
            <a:avLst>
              <a:gd name="adj1" fmla="val 16667"/>
              <a:gd name="adj2" fmla="val 36275"/>
            </a:avLst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sp macro="" textlink="">
        <xdr:nvSpPr>
          <xdr:cNvPr id="6" name="Round Same Side Corner Rectangle 5">
            <a:extLst>
              <a:ext uri="{FF2B5EF4-FFF2-40B4-BE49-F238E27FC236}">
                <a16:creationId xmlns:a16="http://schemas.microsoft.com/office/drawing/2014/main" id="{050653DC-D31A-1D70-7DE7-538D88EB90EA}"/>
              </a:ext>
            </a:extLst>
          </xdr:cNvPr>
          <xdr:cNvSpPr/>
        </xdr:nvSpPr>
        <xdr:spPr>
          <a:xfrm>
            <a:off x="13521573027" y="2108868"/>
            <a:ext cx="624974" cy="608264"/>
          </a:xfrm>
          <a:prstGeom prst="round2SameRect">
            <a:avLst>
              <a:gd name="adj1" fmla="val 16667"/>
              <a:gd name="adj2" fmla="val 36275"/>
            </a:avLst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44</xdr:row>
      <xdr:rowOff>1</xdr:rowOff>
    </xdr:from>
    <xdr:to>
      <xdr:col>6</xdr:col>
      <xdr:colOff>639045</xdr:colOff>
      <xdr:row>52</xdr:row>
      <xdr:rowOff>39670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A8E497-2471-216E-CEB6-3CB52759D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2775732" y="8898090"/>
          <a:ext cx="5589618" cy="1657504"/>
        </a:xfrm>
        <a:prstGeom prst="rect">
          <a:avLst/>
        </a:prstGeom>
      </xdr:spPr>
    </xdr:pic>
    <xdr:clientData/>
  </xdr:twoCellAnchor>
  <xdr:twoCellAnchor>
    <xdr:from>
      <xdr:col>5</xdr:col>
      <xdr:colOff>44786</xdr:colOff>
      <xdr:row>185</xdr:row>
      <xdr:rowOff>57582</xdr:rowOff>
    </xdr:from>
    <xdr:to>
      <xdr:col>6</xdr:col>
      <xdr:colOff>796549</xdr:colOff>
      <xdr:row>190</xdr:row>
      <xdr:rowOff>121562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8E5ED546-FB6F-65F9-8D01-D402EA61D254}"/>
            </a:ext>
          </a:extLst>
        </xdr:cNvPr>
        <xdr:cNvCxnSpPr/>
      </xdr:nvCxnSpPr>
      <xdr:spPr>
        <a:xfrm>
          <a:off x="13516622796" y="38020025"/>
          <a:ext cx="1577103" cy="10876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559823</xdr:colOff>
      <xdr:row>186</xdr:row>
      <xdr:rowOff>131159</xdr:rowOff>
    </xdr:from>
    <xdr:to>
      <xdr:col>5</xdr:col>
      <xdr:colOff>47985</xdr:colOff>
      <xdr:row>190</xdr:row>
      <xdr:rowOff>89572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79F53DBF-6D12-772C-3C09-5D2CE6DA414B}"/>
            </a:ext>
          </a:extLst>
        </xdr:cNvPr>
        <xdr:cNvCxnSpPr/>
      </xdr:nvCxnSpPr>
      <xdr:spPr>
        <a:xfrm flipH="1">
          <a:off x="13518196700" y="38298338"/>
          <a:ext cx="1138842" cy="7773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108644</xdr:colOff>
      <xdr:row>212</xdr:row>
      <xdr:rowOff>43833</xdr:rowOff>
    </xdr:from>
    <xdr:to>
      <xdr:col>2</xdr:col>
      <xdr:colOff>618142</xdr:colOff>
      <xdr:row>220</xdr:row>
      <xdr:rowOff>255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08F068C-CCFC-0B27-3F89-E1F6B431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01242625" y="43321237"/>
          <a:ext cx="2157876" cy="1574829"/>
        </a:xfrm>
        <a:prstGeom prst="rect">
          <a:avLst/>
        </a:prstGeom>
      </xdr:spPr>
    </xdr:pic>
    <xdr:clientData/>
  </xdr:twoCellAnchor>
  <xdr:twoCellAnchor>
    <xdr:from>
      <xdr:col>1</xdr:col>
      <xdr:colOff>168584</xdr:colOff>
      <xdr:row>222</xdr:row>
      <xdr:rowOff>161091</xdr:rowOff>
    </xdr:from>
    <xdr:to>
      <xdr:col>1</xdr:col>
      <xdr:colOff>711800</xdr:colOff>
      <xdr:row>226</xdr:row>
      <xdr:rowOff>161091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19320470-D739-709A-2AC2-1EB54713E11F}"/>
            </a:ext>
          </a:extLst>
        </xdr:cNvPr>
        <xdr:cNvSpPr/>
      </xdr:nvSpPr>
      <xdr:spPr>
        <a:xfrm>
          <a:off x="13501973156" y="45461504"/>
          <a:ext cx="543216" cy="80920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314691</xdr:colOff>
      <xdr:row>217</xdr:row>
      <xdr:rowOff>33716</xdr:rowOff>
    </xdr:from>
    <xdr:to>
      <xdr:col>1</xdr:col>
      <xdr:colOff>678083</xdr:colOff>
      <xdr:row>218</xdr:row>
      <xdr:rowOff>37464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A7F8AE37-B5CA-18B0-F7EF-BDB534CE8171}"/>
            </a:ext>
          </a:extLst>
        </xdr:cNvPr>
        <xdr:cNvSpPr/>
      </xdr:nvSpPr>
      <xdr:spPr>
        <a:xfrm>
          <a:off x="13502006873" y="44322625"/>
          <a:ext cx="363392" cy="20604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פילוס</a:t>
          </a:r>
          <a:endParaRPr lang="en-US" sz="500"/>
        </a:p>
      </xdr:txBody>
    </xdr:sp>
    <xdr:clientData/>
  </xdr:twoCellAnchor>
  <xdr:twoCellAnchor>
    <xdr:from>
      <xdr:col>0</xdr:col>
      <xdr:colOff>513245</xdr:colOff>
      <xdr:row>216</xdr:row>
      <xdr:rowOff>179823</xdr:rowOff>
    </xdr:from>
    <xdr:to>
      <xdr:col>1</xdr:col>
      <xdr:colOff>112390</xdr:colOff>
      <xdr:row>217</xdr:row>
      <xdr:rowOff>183570</xdr:rowOff>
    </xdr:to>
    <xdr:sp macro="" textlink="">
      <xdr:nvSpPr>
        <xdr:cNvPr id="18" name="Rounded Rectangle 17">
          <a:extLst>
            <a:ext uri="{FF2B5EF4-FFF2-40B4-BE49-F238E27FC236}">
              <a16:creationId xmlns:a16="http://schemas.microsoft.com/office/drawing/2014/main" id="{ABC82309-449D-3856-67E0-D6DBAA7B1FCF}"/>
            </a:ext>
          </a:extLst>
        </xdr:cNvPr>
        <xdr:cNvSpPr/>
      </xdr:nvSpPr>
      <xdr:spPr>
        <a:xfrm>
          <a:off x="13502572566" y="44266431"/>
          <a:ext cx="423334" cy="20604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סתונית</a:t>
          </a:r>
          <a:endParaRPr lang="en-US" sz="5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75227</xdr:colOff>
      <xdr:row>25</xdr:row>
      <xdr:rowOff>79394</xdr:rowOff>
    </xdr:from>
    <xdr:to>
      <xdr:col>4</xdr:col>
      <xdr:colOff>504461</xdr:colOff>
      <xdr:row>29</xdr:row>
      <xdr:rowOff>138051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F72BB2F-7270-6FC6-D314-68B0C3B8C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53802856" y="5168244"/>
          <a:ext cx="3739199" cy="872873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29</xdr:row>
      <xdr:rowOff>110627</xdr:rowOff>
    </xdr:from>
    <xdr:to>
      <xdr:col>4</xdr:col>
      <xdr:colOff>615088</xdr:colOff>
      <xdr:row>31</xdr:row>
      <xdr:rowOff>57756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9674EB-FDAA-7FBB-24CE-760C18203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53692229" y="6013693"/>
          <a:ext cx="3920627" cy="354237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</xdr:row>
      <xdr:rowOff>61951</xdr:rowOff>
    </xdr:from>
    <xdr:to>
      <xdr:col>4</xdr:col>
      <xdr:colOff>623937</xdr:colOff>
      <xdr:row>34</xdr:row>
      <xdr:rowOff>28344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FB9EB2B-C711-CBF7-7D38-1D12A163C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683380" y="6372125"/>
          <a:ext cx="3933901" cy="57705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520541</xdr:colOff>
      <xdr:row>41</xdr:row>
      <xdr:rowOff>104775</xdr:rowOff>
    </xdr:from>
    <xdr:to>
      <xdr:col>7</xdr:col>
      <xdr:colOff>790576</xdr:colOff>
      <xdr:row>49</xdr:row>
      <xdr:rowOff>115747</xdr:rowOff>
    </xdr:to>
    <xdr:pic>
      <xdr:nvPicPr>
        <xdr:cNvPr id="2" name="Picture 1" descr="מכשיר נקניקיות Selmor SE-282***שני מתקנים לחימום לחמנייה*** | מוצרי חשמל |  selmor ועוד">
          <a:extLst>
            <a:ext uri="{FF2B5EF4-FFF2-40B4-BE49-F238E27FC236}">
              <a16:creationId xmlns:a16="http://schemas.microsoft.com/office/drawing/2014/main" id="{C1FDB0D9-0E88-8542-A78C-CF966BB2D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422924" y="56264175"/>
          <a:ext cx="1921035" cy="163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623748</xdr:colOff>
      <xdr:row>67</xdr:row>
      <xdr:rowOff>19290</xdr:rowOff>
    </xdr:from>
    <xdr:to>
      <xdr:col>2</xdr:col>
      <xdr:colOff>794153</xdr:colOff>
      <xdr:row>67</xdr:row>
      <xdr:rowOff>180050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D9E3373B-0542-914E-9122-E19495365F53}"/>
            </a:ext>
          </a:extLst>
        </xdr:cNvPr>
        <xdr:cNvSpPr/>
      </xdr:nvSpPr>
      <xdr:spPr>
        <a:xfrm flipH="1">
          <a:off x="13522546847" y="13049490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2</xdr:col>
      <xdr:colOff>588381</xdr:colOff>
      <xdr:row>72</xdr:row>
      <xdr:rowOff>19291</xdr:rowOff>
    </xdr:from>
    <xdr:to>
      <xdr:col>2</xdr:col>
      <xdr:colOff>758786</xdr:colOff>
      <xdr:row>72</xdr:row>
      <xdr:rowOff>180051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8288545-03A9-F342-8329-447F58D25FA1}"/>
            </a:ext>
          </a:extLst>
        </xdr:cNvPr>
        <xdr:cNvSpPr/>
      </xdr:nvSpPr>
      <xdr:spPr>
        <a:xfrm flipH="1">
          <a:off x="13522582214" y="14065491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2</xdr:col>
      <xdr:colOff>623749</xdr:colOff>
      <xdr:row>68</xdr:row>
      <xdr:rowOff>35366</xdr:rowOff>
    </xdr:from>
    <xdr:to>
      <xdr:col>2</xdr:col>
      <xdr:colOff>794154</xdr:colOff>
      <xdr:row>68</xdr:row>
      <xdr:rowOff>196126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D2136CB-7E91-0E47-BAE3-D48B5A45B2F3}"/>
            </a:ext>
          </a:extLst>
        </xdr:cNvPr>
        <xdr:cNvSpPr/>
      </xdr:nvSpPr>
      <xdr:spPr>
        <a:xfrm flipH="1">
          <a:off x="13522546846" y="13268766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633394</xdr:colOff>
      <xdr:row>70</xdr:row>
      <xdr:rowOff>22505</xdr:rowOff>
    </xdr:from>
    <xdr:to>
      <xdr:col>2</xdr:col>
      <xdr:colOff>803799</xdr:colOff>
      <xdr:row>70</xdr:row>
      <xdr:rowOff>183265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664550-FB8D-C04D-8E44-3EE7D5F4FB02}"/>
            </a:ext>
          </a:extLst>
        </xdr:cNvPr>
        <xdr:cNvSpPr/>
      </xdr:nvSpPr>
      <xdr:spPr>
        <a:xfrm flipH="1">
          <a:off x="13522537201" y="13662305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3</xdr:col>
      <xdr:colOff>19292</xdr:colOff>
      <xdr:row>67</xdr:row>
      <xdr:rowOff>70734</xdr:rowOff>
    </xdr:from>
    <xdr:to>
      <xdr:col>3</xdr:col>
      <xdr:colOff>65011</xdr:colOff>
      <xdr:row>67</xdr:row>
      <xdr:rowOff>141468</xdr:rowOff>
    </xdr:to>
    <xdr:sp macro="" textlink="">
      <xdr:nvSpPr>
        <xdr:cNvPr id="7" name="Left Arrow 6">
          <a:extLst>
            <a:ext uri="{FF2B5EF4-FFF2-40B4-BE49-F238E27FC236}">
              <a16:creationId xmlns:a16="http://schemas.microsoft.com/office/drawing/2014/main" id="{675195AA-8E08-274A-B6E4-31C19DCAC94B}"/>
            </a:ext>
          </a:extLst>
        </xdr:cNvPr>
        <xdr:cNvSpPr/>
      </xdr:nvSpPr>
      <xdr:spPr>
        <a:xfrm flipH="1">
          <a:off x="13522450489" y="13100934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2</xdr:col>
      <xdr:colOff>794153</xdr:colOff>
      <xdr:row>72</xdr:row>
      <xdr:rowOff>64304</xdr:rowOff>
    </xdr:from>
    <xdr:to>
      <xdr:col>3</xdr:col>
      <xdr:colOff>13568</xdr:colOff>
      <xdr:row>72</xdr:row>
      <xdr:rowOff>135038</xdr:rowOff>
    </xdr:to>
    <xdr:sp macro="" textlink="">
      <xdr:nvSpPr>
        <xdr:cNvPr id="8" name="Left Arrow 7">
          <a:extLst>
            <a:ext uri="{FF2B5EF4-FFF2-40B4-BE49-F238E27FC236}">
              <a16:creationId xmlns:a16="http://schemas.microsoft.com/office/drawing/2014/main" id="{BA332D5E-9C30-2C40-8763-FFC360DB0EA8}"/>
            </a:ext>
          </a:extLst>
        </xdr:cNvPr>
        <xdr:cNvSpPr/>
      </xdr:nvSpPr>
      <xdr:spPr>
        <a:xfrm flipH="1">
          <a:off x="13522501932" y="14110504"/>
          <a:ext cx="44915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3</xdr:col>
      <xdr:colOff>12861</xdr:colOff>
      <xdr:row>68</xdr:row>
      <xdr:rowOff>77164</xdr:rowOff>
    </xdr:from>
    <xdr:to>
      <xdr:col>3</xdr:col>
      <xdr:colOff>58580</xdr:colOff>
      <xdr:row>68</xdr:row>
      <xdr:rowOff>147898</xdr:rowOff>
    </xdr:to>
    <xdr:sp macro="" textlink="">
      <xdr:nvSpPr>
        <xdr:cNvPr id="9" name="Left Arrow 8">
          <a:extLst>
            <a:ext uri="{FF2B5EF4-FFF2-40B4-BE49-F238E27FC236}">
              <a16:creationId xmlns:a16="http://schemas.microsoft.com/office/drawing/2014/main" id="{5836EBA3-FF0E-CD4E-9D9A-E2B915D015A6}"/>
            </a:ext>
          </a:extLst>
        </xdr:cNvPr>
        <xdr:cNvSpPr/>
      </xdr:nvSpPr>
      <xdr:spPr>
        <a:xfrm flipH="1">
          <a:off x="13522456920" y="13310564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3</xdr:col>
      <xdr:colOff>755570</xdr:colOff>
      <xdr:row>72</xdr:row>
      <xdr:rowOff>73949</xdr:rowOff>
    </xdr:from>
    <xdr:to>
      <xdr:col>3</xdr:col>
      <xdr:colOff>801289</xdr:colOff>
      <xdr:row>72</xdr:row>
      <xdr:rowOff>144683</xdr:rowOff>
    </xdr:to>
    <xdr:sp macro="" textlink="">
      <xdr:nvSpPr>
        <xdr:cNvPr id="10" name="Left Arrow 9">
          <a:extLst>
            <a:ext uri="{FF2B5EF4-FFF2-40B4-BE49-F238E27FC236}">
              <a16:creationId xmlns:a16="http://schemas.microsoft.com/office/drawing/2014/main" id="{463BA98D-E9E3-954B-B195-9D8ABA4F7995}"/>
            </a:ext>
          </a:extLst>
        </xdr:cNvPr>
        <xdr:cNvSpPr/>
      </xdr:nvSpPr>
      <xdr:spPr>
        <a:xfrm flipH="1">
          <a:off x="13521714211" y="1412014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4</xdr:col>
      <xdr:colOff>617318</xdr:colOff>
      <xdr:row>70</xdr:row>
      <xdr:rowOff>16075</xdr:rowOff>
    </xdr:from>
    <xdr:to>
      <xdr:col>4</xdr:col>
      <xdr:colOff>787723</xdr:colOff>
      <xdr:row>70</xdr:row>
      <xdr:rowOff>176835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F9EB3E9F-72BE-CE4E-BD78-6BAA7DFED1C5}"/>
            </a:ext>
          </a:extLst>
        </xdr:cNvPr>
        <xdr:cNvSpPr/>
      </xdr:nvSpPr>
      <xdr:spPr>
        <a:xfrm flipH="1">
          <a:off x="13520902277" y="13655875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4</xdr:col>
      <xdr:colOff>617318</xdr:colOff>
      <xdr:row>77</xdr:row>
      <xdr:rowOff>25722</xdr:rowOff>
    </xdr:from>
    <xdr:to>
      <xdr:col>4</xdr:col>
      <xdr:colOff>787723</xdr:colOff>
      <xdr:row>77</xdr:row>
      <xdr:rowOff>186482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ED879435-F7EF-0449-800A-BBB457C032F0}"/>
            </a:ext>
          </a:extLst>
        </xdr:cNvPr>
        <xdr:cNvSpPr/>
      </xdr:nvSpPr>
      <xdr:spPr>
        <a:xfrm flipH="1">
          <a:off x="13520902277" y="15087922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4</xdr:col>
      <xdr:colOff>623748</xdr:colOff>
      <xdr:row>80</xdr:row>
      <xdr:rowOff>28937</xdr:rowOff>
    </xdr:from>
    <xdr:to>
      <xdr:col>4</xdr:col>
      <xdr:colOff>794153</xdr:colOff>
      <xdr:row>80</xdr:row>
      <xdr:rowOff>189697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6409571-84DB-5845-8A93-24FB17792486}"/>
            </a:ext>
          </a:extLst>
        </xdr:cNvPr>
        <xdr:cNvSpPr/>
      </xdr:nvSpPr>
      <xdr:spPr>
        <a:xfrm flipH="1">
          <a:off x="13520895847" y="15700737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4</xdr:col>
      <xdr:colOff>633394</xdr:colOff>
      <xdr:row>68</xdr:row>
      <xdr:rowOff>22506</xdr:rowOff>
    </xdr:from>
    <xdr:to>
      <xdr:col>4</xdr:col>
      <xdr:colOff>803799</xdr:colOff>
      <xdr:row>68</xdr:row>
      <xdr:rowOff>183266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D91BF6B-C72D-ED44-8831-3EB4F4EF4970}"/>
            </a:ext>
          </a:extLst>
        </xdr:cNvPr>
        <xdr:cNvSpPr/>
      </xdr:nvSpPr>
      <xdr:spPr>
        <a:xfrm flipH="1">
          <a:off x="13520886201" y="13255906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>
    <xdr:from>
      <xdr:col>4</xdr:col>
      <xdr:colOff>633394</xdr:colOff>
      <xdr:row>67</xdr:row>
      <xdr:rowOff>6430</xdr:rowOff>
    </xdr:from>
    <xdr:to>
      <xdr:col>4</xdr:col>
      <xdr:colOff>803799</xdr:colOff>
      <xdr:row>67</xdr:row>
      <xdr:rowOff>167190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A34DB9A-36DF-0749-B04C-601E9EA46542}"/>
            </a:ext>
          </a:extLst>
        </xdr:cNvPr>
        <xdr:cNvSpPr/>
      </xdr:nvSpPr>
      <xdr:spPr>
        <a:xfrm flipH="1">
          <a:off x="13520886201" y="13036630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9</a:t>
          </a:r>
          <a:endParaRPr lang="en-US" sz="1100"/>
        </a:p>
      </xdr:txBody>
    </xdr:sp>
    <xdr:clientData/>
  </xdr:twoCellAnchor>
  <xdr:twoCellAnchor>
    <xdr:from>
      <xdr:col>5</xdr:col>
      <xdr:colOff>19293</xdr:colOff>
      <xdr:row>67</xdr:row>
      <xdr:rowOff>70734</xdr:rowOff>
    </xdr:from>
    <xdr:to>
      <xdr:col>5</xdr:col>
      <xdr:colOff>65012</xdr:colOff>
      <xdr:row>67</xdr:row>
      <xdr:rowOff>141468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97AE267C-95AE-3248-B921-DC4763D0D124}"/>
            </a:ext>
          </a:extLst>
        </xdr:cNvPr>
        <xdr:cNvSpPr/>
      </xdr:nvSpPr>
      <xdr:spPr>
        <a:xfrm flipH="1">
          <a:off x="13520799488" y="13100934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5</xdr:col>
      <xdr:colOff>610887</xdr:colOff>
      <xdr:row>71</xdr:row>
      <xdr:rowOff>167190</xdr:rowOff>
    </xdr:from>
    <xdr:to>
      <xdr:col>6</xdr:col>
      <xdr:colOff>122178</xdr:colOff>
      <xdr:row>72</xdr:row>
      <xdr:rowOff>131823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1BF20AB8-D11A-2C45-97F4-2E5CB9B98D6C}"/>
            </a:ext>
          </a:extLst>
        </xdr:cNvPr>
        <xdr:cNvSpPr/>
      </xdr:nvSpPr>
      <xdr:spPr>
        <a:xfrm flipH="1">
          <a:off x="13519916822" y="14010190"/>
          <a:ext cx="336791" cy="16783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10</a:t>
          </a:r>
          <a:endParaRPr lang="en-US" sz="100"/>
        </a:p>
      </xdr:txBody>
    </xdr:sp>
    <xdr:clientData/>
  </xdr:twoCellAnchor>
  <xdr:twoCellAnchor>
    <xdr:from>
      <xdr:col>5</xdr:col>
      <xdr:colOff>598026</xdr:colOff>
      <xdr:row>68</xdr:row>
      <xdr:rowOff>22505</xdr:rowOff>
    </xdr:from>
    <xdr:to>
      <xdr:col>6</xdr:col>
      <xdr:colOff>109317</xdr:colOff>
      <xdr:row>68</xdr:row>
      <xdr:rowOff>189695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A8BD9318-5C52-954A-8718-F10732B35AE6}"/>
            </a:ext>
          </a:extLst>
        </xdr:cNvPr>
        <xdr:cNvSpPr/>
      </xdr:nvSpPr>
      <xdr:spPr>
        <a:xfrm flipH="1">
          <a:off x="13519929683" y="1325590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11</a:t>
          </a:r>
          <a:endParaRPr lang="en-US" sz="100"/>
        </a:p>
      </xdr:txBody>
    </xdr:sp>
    <xdr:clientData/>
  </xdr:twoCellAnchor>
  <xdr:twoCellAnchor>
    <xdr:from>
      <xdr:col>5</xdr:col>
      <xdr:colOff>617317</xdr:colOff>
      <xdr:row>70</xdr:row>
      <xdr:rowOff>38581</xdr:rowOff>
    </xdr:from>
    <xdr:to>
      <xdr:col>6</xdr:col>
      <xdr:colOff>128608</xdr:colOff>
      <xdr:row>71</xdr:row>
      <xdr:rowOff>3215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646FBE-FC32-1D40-9D5E-BC478A44F7D4}"/>
            </a:ext>
          </a:extLst>
        </xdr:cNvPr>
        <xdr:cNvSpPr/>
      </xdr:nvSpPr>
      <xdr:spPr>
        <a:xfrm flipH="1">
          <a:off x="13519910392" y="13678381"/>
          <a:ext cx="336791" cy="16783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12</a:t>
          </a:r>
          <a:endParaRPr lang="en-US" sz="100"/>
        </a:p>
      </xdr:txBody>
    </xdr:sp>
    <xdr:clientData/>
  </xdr:twoCellAnchor>
  <xdr:twoCellAnchor>
    <xdr:from>
      <xdr:col>5</xdr:col>
      <xdr:colOff>623748</xdr:colOff>
      <xdr:row>82</xdr:row>
      <xdr:rowOff>19290</xdr:rowOff>
    </xdr:from>
    <xdr:to>
      <xdr:col>6</xdr:col>
      <xdr:colOff>135039</xdr:colOff>
      <xdr:row>82</xdr:row>
      <xdr:rowOff>186480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6C7282A1-F609-804E-9A42-38D1A002CFB4}"/>
            </a:ext>
          </a:extLst>
        </xdr:cNvPr>
        <xdr:cNvSpPr/>
      </xdr:nvSpPr>
      <xdr:spPr>
        <a:xfrm flipH="1">
          <a:off x="13519903961" y="16097490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13</a:t>
          </a:r>
          <a:endParaRPr lang="en-US" sz="100"/>
        </a:p>
      </xdr:txBody>
    </xdr:sp>
    <xdr:clientData/>
  </xdr:twoCellAnchor>
  <xdr:twoCellAnchor>
    <xdr:from>
      <xdr:col>5</xdr:col>
      <xdr:colOff>636609</xdr:colOff>
      <xdr:row>80</xdr:row>
      <xdr:rowOff>19290</xdr:rowOff>
    </xdr:from>
    <xdr:to>
      <xdr:col>6</xdr:col>
      <xdr:colOff>147900</xdr:colOff>
      <xdr:row>80</xdr:row>
      <xdr:rowOff>186480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F374FE3E-082F-E741-933E-0C8DADF85792}"/>
            </a:ext>
          </a:extLst>
        </xdr:cNvPr>
        <xdr:cNvSpPr/>
      </xdr:nvSpPr>
      <xdr:spPr>
        <a:xfrm flipH="1">
          <a:off x="13519891100" y="15691090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14</a:t>
          </a:r>
          <a:endParaRPr lang="en-US" sz="100"/>
        </a:p>
      </xdr:txBody>
    </xdr:sp>
    <xdr:clientData/>
  </xdr:twoCellAnchor>
  <xdr:twoCellAnchor>
    <xdr:from>
      <xdr:col>5</xdr:col>
      <xdr:colOff>787724</xdr:colOff>
      <xdr:row>67</xdr:row>
      <xdr:rowOff>73949</xdr:rowOff>
    </xdr:from>
    <xdr:to>
      <xdr:col>6</xdr:col>
      <xdr:colOff>7139</xdr:colOff>
      <xdr:row>67</xdr:row>
      <xdr:rowOff>144683</xdr:rowOff>
    </xdr:to>
    <xdr:sp macro="" textlink="">
      <xdr:nvSpPr>
        <xdr:cNvPr id="22" name="Left Arrow 21">
          <a:extLst>
            <a:ext uri="{FF2B5EF4-FFF2-40B4-BE49-F238E27FC236}">
              <a16:creationId xmlns:a16="http://schemas.microsoft.com/office/drawing/2014/main" id="{9AF29F09-F3FA-0142-9591-BD31008AE8E2}"/>
            </a:ext>
          </a:extLst>
        </xdr:cNvPr>
        <xdr:cNvSpPr/>
      </xdr:nvSpPr>
      <xdr:spPr>
        <a:xfrm flipH="1">
          <a:off x="13520031861" y="13104149"/>
          <a:ext cx="44915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6</xdr:col>
      <xdr:colOff>572304</xdr:colOff>
      <xdr:row>71</xdr:row>
      <xdr:rowOff>173620</xdr:rowOff>
    </xdr:from>
    <xdr:to>
      <xdr:col>7</xdr:col>
      <xdr:colOff>83596</xdr:colOff>
      <xdr:row>72</xdr:row>
      <xdr:rowOff>138253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A077DB5-8C83-1643-9D79-537A5D7DA0E2}"/>
            </a:ext>
          </a:extLst>
        </xdr:cNvPr>
        <xdr:cNvSpPr/>
      </xdr:nvSpPr>
      <xdr:spPr>
        <a:xfrm flipH="1">
          <a:off x="13519129904" y="14016620"/>
          <a:ext cx="336792" cy="16783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15</a:t>
          </a:r>
          <a:endParaRPr lang="en-US" sz="100"/>
        </a:p>
      </xdr:txBody>
    </xdr:sp>
    <xdr:clientData/>
  </xdr:twoCellAnchor>
  <xdr:twoCellAnchor>
    <xdr:from>
      <xdr:col>6</xdr:col>
      <xdr:colOff>585165</xdr:colOff>
      <xdr:row>68</xdr:row>
      <xdr:rowOff>19290</xdr:rowOff>
    </xdr:from>
    <xdr:to>
      <xdr:col>7</xdr:col>
      <xdr:colOff>96457</xdr:colOff>
      <xdr:row>68</xdr:row>
      <xdr:rowOff>186480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4F9D570-7E8C-314F-B238-9E016EECDA1A}"/>
            </a:ext>
          </a:extLst>
        </xdr:cNvPr>
        <xdr:cNvSpPr/>
      </xdr:nvSpPr>
      <xdr:spPr>
        <a:xfrm flipH="1">
          <a:off x="13519117043" y="13252690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16</a:t>
          </a:r>
          <a:endParaRPr lang="en-US" sz="100"/>
        </a:p>
      </xdr:txBody>
    </xdr:sp>
    <xdr:clientData/>
  </xdr:twoCellAnchor>
  <xdr:twoCellAnchor>
    <xdr:from>
      <xdr:col>6</xdr:col>
      <xdr:colOff>610887</xdr:colOff>
      <xdr:row>70</xdr:row>
      <xdr:rowOff>22506</xdr:rowOff>
    </xdr:from>
    <xdr:to>
      <xdr:col>7</xdr:col>
      <xdr:colOff>122179</xdr:colOff>
      <xdr:row>70</xdr:row>
      <xdr:rowOff>189696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2FFFA025-F177-144D-845E-6B1CDE80CB46}"/>
            </a:ext>
          </a:extLst>
        </xdr:cNvPr>
        <xdr:cNvSpPr/>
      </xdr:nvSpPr>
      <xdr:spPr>
        <a:xfrm flipH="1">
          <a:off x="13519091321" y="13662306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17</a:t>
          </a:r>
          <a:endParaRPr lang="en-US" sz="100"/>
        </a:p>
      </xdr:txBody>
    </xdr:sp>
    <xdr:clientData/>
  </xdr:twoCellAnchor>
  <xdr:twoCellAnchor>
    <xdr:from>
      <xdr:col>6</xdr:col>
      <xdr:colOff>180052</xdr:colOff>
      <xdr:row>82</xdr:row>
      <xdr:rowOff>64303</xdr:rowOff>
    </xdr:from>
    <xdr:to>
      <xdr:col>6</xdr:col>
      <xdr:colOff>225771</xdr:colOff>
      <xdr:row>82</xdr:row>
      <xdr:rowOff>135037</xdr:rowOff>
    </xdr:to>
    <xdr:sp macro="" textlink="">
      <xdr:nvSpPr>
        <xdr:cNvPr id="26" name="Left Arrow 25">
          <a:extLst>
            <a:ext uri="{FF2B5EF4-FFF2-40B4-BE49-F238E27FC236}">
              <a16:creationId xmlns:a16="http://schemas.microsoft.com/office/drawing/2014/main" id="{41B6853E-5097-CB4F-9ED9-1A2C8F3FAC47}"/>
            </a:ext>
          </a:extLst>
        </xdr:cNvPr>
        <xdr:cNvSpPr/>
      </xdr:nvSpPr>
      <xdr:spPr>
        <a:xfrm flipH="1">
          <a:off x="13519813229" y="16142503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6</xdr:col>
      <xdr:colOff>630177</xdr:colOff>
      <xdr:row>80</xdr:row>
      <xdr:rowOff>25721</xdr:rowOff>
    </xdr:from>
    <xdr:to>
      <xdr:col>7</xdr:col>
      <xdr:colOff>141469</xdr:colOff>
      <xdr:row>80</xdr:row>
      <xdr:rowOff>192911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5D9C8D37-42AB-C742-B657-6803F2A5433C}"/>
            </a:ext>
          </a:extLst>
        </xdr:cNvPr>
        <xdr:cNvSpPr/>
      </xdr:nvSpPr>
      <xdr:spPr>
        <a:xfrm flipH="1">
          <a:off x="13519072031" y="15697521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18</a:t>
          </a:r>
          <a:endParaRPr lang="en-US" sz="100"/>
        </a:p>
      </xdr:txBody>
    </xdr:sp>
    <xdr:clientData/>
  </xdr:twoCellAnchor>
  <xdr:twoCellAnchor>
    <xdr:from>
      <xdr:col>7</xdr:col>
      <xdr:colOff>630179</xdr:colOff>
      <xdr:row>70</xdr:row>
      <xdr:rowOff>16075</xdr:rowOff>
    </xdr:from>
    <xdr:to>
      <xdr:col>8</xdr:col>
      <xdr:colOff>141470</xdr:colOff>
      <xdr:row>70</xdr:row>
      <xdr:rowOff>183265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397B48D2-4BDB-AE45-B018-CDD97D1C97C0}"/>
            </a:ext>
          </a:extLst>
        </xdr:cNvPr>
        <xdr:cNvSpPr/>
      </xdr:nvSpPr>
      <xdr:spPr>
        <a:xfrm flipH="1">
          <a:off x="13518246530" y="1365587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18</a:t>
          </a:r>
          <a:endParaRPr lang="en-US" sz="100"/>
        </a:p>
      </xdr:txBody>
    </xdr:sp>
    <xdr:clientData/>
  </xdr:twoCellAnchor>
  <xdr:twoCellAnchor>
    <xdr:from>
      <xdr:col>7</xdr:col>
      <xdr:colOff>115747</xdr:colOff>
      <xdr:row>72</xdr:row>
      <xdr:rowOff>54658</xdr:rowOff>
    </xdr:from>
    <xdr:to>
      <xdr:col>7</xdr:col>
      <xdr:colOff>161466</xdr:colOff>
      <xdr:row>72</xdr:row>
      <xdr:rowOff>125392</xdr:rowOff>
    </xdr:to>
    <xdr:sp macro="" textlink="">
      <xdr:nvSpPr>
        <xdr:cNvPr id="29" name="Left Arrow 28">
          <a:extLst>
            <a:ext uri="{FF2B5EF4-FFF2-40B4-BE49-F238E27FC236}">
              <a16:creationId xmlns:a16="http://schemas.microsoft.com/office/drawing/2014/main" id="{9F961FCF-0DDE-7146-A7FB-3789B1F515A3}"/>
            </a:ext>
          </a:extLst>
        </xdr:cNvPr>
        <xdr:cNvSpPr/>
      </xdr:nvSpPr>
      <xdr:spPr>
        <a:xfrm flipH="1">
          <a:off x="13519052034" y="14100858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7</xdr:col>
      <xdr:colOff>598027</xdr:colOff>
      <xdr:row>68</xdr:row>
      <xdr:rowOff>25719</xdr:rowOff>
    </xdr:from>
    <xdr:to>
      <xdr:col>8</xdr:col>
      <xdr:colOff>109318</xdr:colOff>
      <xdr:row>68</xdr:row>
      <xdr:rowOff>192909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0C1BFD43-7EE2-0E4B-B5D6-A120D18F430C}"/>
            </a:ext>
          </a:extLst>
        </xdr:cNvPr>
        <xdr:cNvSpPr/>
      </xdr:nvSpPr>
      <xdr:spPr>
        <a:xfrm flipH="1">
          <a:off x="13518278682" y="1325911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19</a:t>
          </a:r>
          <a:endParaRPr lang="en-US" sz="100"/>
        </a:p>
      </xdr:txBody>
    </xdr:sp>
    <xdr:clientData/>
  </xdr:twoCellAnchor>
  <xdr:twoCellAnchor>
    <xdr:from>
      <xdr:col>7</xdr:col>
      <xdr:colOff>710559</xdr:colOff>
      <xdr:row>78</xdr:row>
      <xdr:rowOff>12859</xdr:rowOff>
    </xdr:from>
    <xdr:to>
      <xdr:col>8</xdr:col>
      <xdr:colOff>221850</xdr:colOff>
      <xdr:row>78</xdr:row>
      <xdr:rowOff>180049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26BCFFCD-95D8-7D44-AF49-7FF2012216D8}"/>
            </a:ext>
          </a:extLst>
        </xdr:cNvPr>
        <xdr:cNvSpPr/>
      </xdr:nvSpPr>
      <xdr:spPr>
        <a:xfrm flipH="1">
          <a:off x="13518166150" y="1527825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20</a:t>
          </a:r>
          <a:endParaRPr lang="en-US" sz="100"/>
        </a:p>
      </xdr:txBody>
    </xdr:sp>
    <xdr:clientData/>
  </xdr:twoCellAnchor>
  <xdr:twoCellAnchor>
    <xdr:from>
      <xdr:col>7</xdr:col>
      <xdr:colOff>716990</xdr:colOff>
      <xdr:row>80</xdr:row>
      <xdr:rowOff>25719</xdr:rowOff>
    </xdr:from>
    <xdr:to>
      <xdr:col>8</xdr:col>
      <xdr:colOff>228281</xdr:colOff>
      <xdr:row>80</xdr:row>
      <xdr:rowOff>192909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6CCE78EC-D036-7449-9C3D-5B43813E2428}"/>
            </a:ext>
          </a:extLst>
        </xdr:cNvPr>
        <xdr:cNvSpPr/>
      </xdr:nvSpPr>
      <xdr:spPr>
        <a:xfrm flipH="1">
          <a:off x="13518159719" y="1569751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21</a:t>
          </a:r>
          <a:endParaRPr lang="en-US" sz="100"/>
        </a:p>
      </xdr:txBody>
    </xdr:sp>
    <xdr:clientData/>
  </xdr:twoCellAnchor>
  <xdr:twoCellAnchor>
    <xdr:from>
      <xdr:col>6</xdr:col>
      <xdr:colOff>752356</xdr:colOff>
      <xdr:row>82</xdr:row>
      <xdr:rowOff>73949</xdr:rowOff>
    </xdr:from>
    <xdr:to>
      <xdr:col>6</xdr:col>
      <xdr:colOff>798075</xdr:colOff>
      <xdr:row>82</xdr:row>
      <xdr:rowOff>144683</xdr:rowOff>
    </xdr:to>
    <xdr:sp macro="" textlink="">
      <xdr:nvSpPr>
        <xdr:cNvPr id="33" name="Left Arrow 32">
          <a:extLst>
            <a:ext uri="{FF2B5EF4-FFF2-40B4-BE49-F238E27FC236}">
              <a16:creationId xmlns:a16="http://schemas.microsoft.com/office/drawing/2014/main" id="{230C030A-1A4A-8345-A396-6357D89E1F05}"/>
            </a:ext>
          </a:extLst>
        </xdr:cNvPr>
        <xdr:cNvSpPr/>
      </xdr:nvSpPr>
      <xdr:spPr>
        <a:xfrm flipH="1">
          <a:off x="13519240925" y="1615214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7</xdr:col>
      <xdr:colOff>723420</xdr:colOff>
      <xdr:row>74</xdr:row>
      <xdr:rowOff>3213</xdr:rowOff>
    </xdr:from>
    <xdr:to>
      <xdr:col>8</xdr:col>
      <xdr:colOff>234711</xdr:colOff>
      <xdr:row>74</xdr:row>
      <xdr:rowOff>170403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14F13884-71A2-6549-B73A-5D3B8192B9E0}"/>
            </a:ext>
          </a:extLst>
        </xdr:cNvPr>
        <xdr:cNvSpPr/>
      </xdr:nvSpPr>
      <xdr:spPr>
        <a:xfrm flipH="1">
          <a:off x="13518153289" y="1445581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22</a:t>
          </a:r>
          <a:endParaRPr lang="en-US" sz="100"/>
        </a:p>
      </xdr:txBody>
    </xdr:sp>
    <xdr:clientData/>
  </xdr:twoCellAnchor>
  <xdr:twoCellAnchor>
    <xdr:from>
      <xdr:col>7</xdr:col>
      <xdr:colOff>610889</xdr:colOff>
      <xdr:row>67</xdr:row>
      <xdr:rowOff>25718</xdr:rowOff>
    </xdr:from>
    <xdr:to>
      <xdr:col>8</xdr:col>
      <xdr:colOff>122180</xdr:colOff>
      <xdr:row>67</xdr:row>
      <xdr:rowOff>192908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3D8573D6-44F2-F147-9BFC-CE95A8CFFF1C}"/>
            </a:ext>
          </a:extLst>
        </xdr:cNvPr>
        <xdr:cNvSpPr/>
      </xdr:nvSpPr>
      <xdr:spPr>
        <a:xfrm flipH="1">
          <a:off x="13518265820" y="13055918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23</a:t>
          </a:r>
          <a:endParaRPr lang="en-US" sz="100"/>
        </a:p>
      </xdr:txBody>
    </xdr:sp>
    <xdr:clientData/>
  </xdr:twoCellAnchor>
  <xdr:twoCellAnchor>
    <xdr:from>
      <xdr:col>8</xdr:col>
      <xdr:colOff>176836</xdr:colOff>
      <xdr:row>67</xdr:row>
      <xdr:rowOff>73948</xdr:rowOff>
    </xdr:from>
    <xdr:to>
      <xdr:col>8</xdr:col>
      <xdr:colOff>222555</xdr:colOff>
      <xdr:row>67</xdr:row>
      <xdr:rowOff>144682</xdr:rowOff>
    </xdr:to>
    <xdr:sp macro="" textlink="">
      <xdr:nvSpPr>
        <xdr:cNvPr id="36" name="Left Arrow 35">
          <a:extLst>
            <a:ext uri="{FF2B5EF4-FFF2-40B4-BE49-F238E27FC236}">
              <a16:creationId xmlns:a16="http://schemas.microsoft.com/office/drawing/2014/main" id="{552FB22E-41DB-C24A-A2BC-D1147EA68E76}"/>
            </a:ext>
          </a:extLst>
        </xdr:cNvPr>
        <xdr:cNvSpPr/>
      </xdr:nvSpPr>
      <xdr:spPr>
        <a:xfrm flipH="1">
          <a:off x="13518165445" y="13104148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8</xdr:col>
      <xdr:colOff>598028</xdr:colOff>
      <xdr:row>72</xdr:row>
      <xdr:rowOff>25718</xdr:rowOff>
    </xdr:from>
    <xdr:to>
      <xdr:col>9</xdr:col>
      <xdr:colOff>109319</xdr:colOff>
      <xdr:row>72</xdr:row>
      <xdr:rowOff>192908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9A0CF17B-3027-794B-BE48-876935DC9F30}"/>
            </a:ext>
          </a:extLst>
        </xdr:cNvPr>
        <xdr:cNvSpPr/>
      </xdr:nvSpPr>
      <xdr:spPr>
        <a:xfrm flipH="1">
          <a:off x="13517453181" y="14071918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24</a:t>
          </a:r>
          <a:endParaRPr lang="en-US" sz="100"/>
        </a:p>
      </xdr:txBody>
    </xdr:sp>
    <xdr:clientData/>
  </xdr:twoCellAnchor>
  <xdr:twoCellAnchor>
    <xdr:from>
      <xdr:col>8</xdr:col>
      <xdr:colOff>614104</xdr:colOff>
      <xdr:row>68</xdr:row>
      <xdr:rowOff>16072</xdr:rowOff>
    </xdr:from>
    <xdr:to>
      <xdr:col>9</xdr:col>
      <xdr:colOff>125395</xdr:colOff>
      <xdr:row>68</xdr:row>
      <xdr:rowOff>183262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EE2BE132-366C-EB44-9015-9C2430F60E57}"/>
            </a:ext>
          </a:extLst>
        </xdr:cNvPr>
        <xdr:cNvSpPr/>
      </xdr:nvSpPr>
      <xdr:spPr>
        <a:xfrm flipH="1">
          <a:off x="13517437105" y="13249472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25</a:t>
          </a:r>
          <a:endParaRPr lang="en-US" sz="100"/>
        </a:p>
      </xdr:txBody>
    </xdr:sp>
    <xdr:clientData/>
  </xdr:twoCellAnchor>
  <xdr:twoCellAnchor>
    <xdr:from>
      <xdr:col>8</xdr:col>
      <xdr:colOff>614104</xdr:colOff>
      <xdr:row>69</xdr:row>
      <xdr:rowOff>3213</xdr:rowOff>
    </xdr:from>
    <xdr:to>
      <xdr:col>9</xdr:col>
      <xdr:colOff>125395</xdr:colOff>
      <xdr:row>69</xdr:row>
      <xdr:rowOff>170403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7787D0E7-E550-744C-9EFC-7271DCB5B467}"/>
            </a:ext>
          </a:extLst>
        </xdr:cNvPr>
        <xdr:cNvSpPr/>
      </xdr:nvSpPr>
      <xdr:spPr>
        <a:xfrm flipH="1">
          <a:off x="13517437105" y="1343981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26</a:t>
          </a:r>
          <a:endParaRPr lang="en-US" sz="100"/>
        </a:p>
      </xdr:txBody>
    </xdr:sp>
    <xdr:clientData/>
  </xdr:twoCellAnchor>
  <xdr:twoCellAnchor>
    <xdr:from>
      <xdr:col>8</xdr:col>
      <xdr:colOff>614104</xdr:colOff>
      <xdr:row>70</xdr:row>
      <xdr:rowOff>12858</xdr:rowOff>
    </xdr:from>
    <xdr:to>
      <xdr:col>9</xdr:col>
      <xdr:colOff>125395</xdr:colOff>
      <xdr:row>70</xdr:row>
      <xdr:rowOff>180048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B80B3C83-6A60-564D-AEE8-695E7B2D2D6D}"/>
            </a:ext>
          </a:extLst>
        </xdr:cNvPr>
        <xdr:cNvSpPr/>
      </xdr:nvSpPr>
      <xdr:spPr>
        <a:xfrm flipH="1">
          <a:off x="13517437105" y="13652658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27</a:t>
          </a:r>
          <a:endParaRPr lang="en-US" sz="100"/>
        </a:p>
      </xdr:txBody>
    </xdr:sp>
    <xdr:clientData/>
  </xdr:twoCellAnchor>
  <xdr:twoCellAnchor>
    <xdr:from>
      <xdr:col>8</xdr:col>
      <xdr:colOff>810228</xdr:colOff>
      <xdr:row>67</xdr:row>
      <xdr:rowOff>73948</xdr:rowOff>
    </xdr:from>
    <xdr:to>
      <xdr:col>9</xdr:col>
      <xdr:colOff>29643</xdr:colOff>
      <xdr:row>67</xdr:row>
      <xdr:rowOff>144682</xdr:rowOff>
    </xdr:to>
    <xdr:sp macro="" textlink="">
      <xdr:nvSpPr>
        <xdr:cNvPr id="41" name="Left Arrow 40">
          <a:extLst>
            <a:ext uri="{FF2B5EF4-FFF2-40B4-BE49-F238E27FC236}">
              <a16:creationId xmlns:a16="http://schemas.microsoft.com/office/drawing/2014/main" id="{18B85072-5515-724E-9CDF-9B4E2F6BDECA}"/>
            </a:ext>
          </a:extLst>
        </xdr:cNvPr>
        <xdr:cNvSpPr/>
      </xdr:nvSpPr>
      <xdr:spPr>
        <a:xfrm flipH="1">
          <a:off x="13517532857" y="13104148"/>
          <a:ext cx="44915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9</xdr:col>
      <xdr:colOff>122177</xdr:colOff>
      <xdr:row>72</xdr:row>
      <xdr:rowOff>70734</xdr:rowOff>
    </xdr:from>
    <xdr:to>
      <xdr:col>9</xdr:col>
      <xdr:colOff>167896</xdr:colOff>
      <xdr:row>72</xdr:row>
      <xdr:rowOff>141468</xdr:rowOff>
    </xdr:to>
    <xdr:sp macro="" textlink="">
      <xdr:nvSpPr>
        <xdr:cNvPr id="42" name="Left Arrow 41">
          <a:extLst>
            <a:ext uri="{FF2B5EF4-FFF2-40B4-BE49-F238E27FC236}">
              <a16:creationId xmlns:a16="http://schemas.microsoft.com/office/drawing/2014/main" id="{C59ABF7E-F8C0-2A49-B92F-AE66BAD45FDD}"/>
            </a:ext>
          </a:extLst>
        </xdr:cNvPr>
        <xdr:cNvSpPr/>
      </xdr:nvSpPr>
      <xdr:spPr>
        <a:xfrm flipH="1">
          <a:off x="13517394604" y="14116934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9</xdr:col>
      <xdr:colOff>614104</xdr:colOff>
      <xdr:row>68</xdr:row>
      <xdr:rowOff>16072</xdr:rowOff>
    </xdr:from>
    <xdr:to>
      <xdr:col>10</xdr:col>
      <xdr:colOff>125395</xdr:colOff>
      <xdr:row>68</xdr:row>
      <xdr:rowOff>183262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1F3BC175-ED7F-FC4D-BD21-BCAC2AE4F51D}"/>
            </a:ext>
          </a:extLst>
        </xdr:cNvPr>
        <xdr:cNvSpPr/>
      </xdr:nvSpPr>
      <xdr:spPr>
        <a:xfrm flipH="1">
          <a:off x="13516611605" y="13249472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28</a:t>
          </a:r>
          <a:endParaRPr lang="en-US" sz="100"/>
        </a:p>
      </xdr:txBody>
    </xdr:sp>
    <xdr:clientData/>
  </xdr:twoCellAnchor>
  <xdr:twoCellAnchor>
    <xdr:from>
      <xdr:col>9</xdr:col>
      <xdr:colOff>604458</xdr:colOff>
      <xdr:row>69</xdr:row>
      <xdr:rowOff>22503</xdr:rowOff>
    </xdr:from>
    <xdr:to>
      <xdr:col>10</xdr:col>
      <xdr:colOff>115749</xdr:colOff>
      <xdr:row>69</xdr:row>
      <xdr:rowOff>189693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C715FA3E-4C16-0043-83A5-B535F73BCAE8}"/>
            </a:ext>
          </a:extLst>
        </xdr:cNvPr>
        <xdr:cNvSpPr/>
      </xdr:nvSpPr>
      <xdr:spPr>
        <a:xfrm flipH="1">
          <a:off x="13516621251" y="1345910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29</a:t>
          </a:r>
          <a:endParaRPr lang="en-US" sz="100"/>
        </a:p>
      </xdr:txBody>
    </xdr:sp>
    <xdr:clientData/>
  </xdr:twoCellAnchor>
  <xdr:twoCellAnchor>
    <xdr:from>
      <xdr:col>9</xdr:col>
      <xdr:colOff>607673</xdr:colOff>
      <xdr:row>70</xdr:row>
      <xdr:rowOff>22503</xdr:rowOff>
    </xdr:from>
    <xdr:to>
      <xdr:col>10</xdr:col>
      <xdr:colOff>118964</xdr:colOff>
      <xdr:row>70</xdr:row>
      <xdr:rowOff>189693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E55F10AE-D20D-464D-8F7E-F079DCC509EF}"/>
            </a:ext>
          </a:extLst>
        </xdr:cNvPr>
        <xdr:cNvSpPr/>
      </xdr:nvSpPr>
      <xdr:spPr>
        <a:xfrm flipH="1">
          <a:off x="13516618036" y="1366230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30</a:t>
          </a:r>
          <a:endParaRPr lang="en-US" sz="100"/>
        </a:p>
      </xdr:txBody>
    </xdr:sp>
    <xdr:clientData/>
  </xdr:twoCellAnchor>
  <xdr:twoCellAnchor>
    <xdr:from>
      <xdr:col>10</xdr:col>
      <xdr:colOff>607674</xdr:colOff>
      <xdr:row>70</xdr:row>
      <xdr:rowOff>22503</xdr:rowOff>
    </xdr:from>
    <xdr:to>
      <xdr:col>11</xdr:col>
      <xdr:colOff>118965</xdr:colOff>
      <xdr:row>70</xdr:row>
      <xdr:rowOff>189693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0355C34-98CB-8B47-B65A-5AA34B7FE774}"/>
            </a:ext>
          </a:extLst>
        </xdr:cNvPr>
        <xdr:cNvSpPr/>
      </xdr:nvSpPr>
      <xdr:spPr>
        <a:xfrm flipH="1">
          <a:off x="13515792535" y="1366230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31</a:t>
          </a:r>
          <a:endParaRPr lang="en-US" sz="100"/>
        </a:p>
      </xdr:txBody>
    </xdr:sp>
    <xdr:clientData/>
  </xdr:twoCellAnchor>
  <xdr:twoCellAnchor>
    <xdr:from>
      <xdr:col>10</xdr:col>
      <xdr:colOff>623750</xdr:colOff>
      <xdr:row>68</xdr:row>
      <xdr:rowOff>35363</xdr:rowOff>
    </xdr:from>
    <xdr:to>
      <xdr:col>11</xdr:col>
      <xdr:colOff>135041</xdr:colOff>
      <xdr:row>68</xdr:row>
      <xdr:rowOff>202553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504A653A-7015-F34D-B2DB-3691DC23373E}"/>
            </a:ext>
          </a:extLst>
        </xdr:cNvPr>
        <xdr:cNvSpPr/>
      </xdr:nvSpPr>
      <xdr:spPr>
        <a:xfrm flipH="1">
          <a:off x="13515776459" y="1326876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32</a:t>
          </a:r>
          <a:endParaRPr lang="en-US" sz="100"/>
        </a:p>
      </xdr:txBody>
    </xdr:sp>
    <xdr:clientData/>
  </xdr:twoCellAnchor>
  <xdr:twoCellAnchor>
    <xdr:from>
      <xdr:col>10</xdr:col>
      <xdr:colOff>639826</xdr:colOff>
      <xdr:row>75</xdr:row>
      <xdr:rowOff>16072</xdr:rowOff>
    </xdr:from>
    <xdr:to>
      <xdr:col>11</xdr:col>
      <xdr:colOff>151117</xdr:colOff>
      <xdr:row>75</xdr:row>
      <xdr:rowOff>183262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316908F3-605E-D049-9D34-1209DB70AE63}"/>
            </a:ext>
          </a:extLst>
        </xdr:cNvPr>
        <xdr:cNvSpPr/>
      </xdr:nvSpPr>
      <xdr:spPr>
        <a:xfrm flipH="1">
          <a:off x="13515760383" y="14671872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33</a:t>
          </a:r>
          <a:endParaRPr lang="en-US" sz="100"/>
        </a:p>
      </xdr:txBody>
    </xdr:sp>
    <xdr:clientData/>
  </xdr:twoCellAnchor>
  <xdr:twoCellAnchor>
    <xdr:from>
      <xdr:col>10</xdr:col>
      <xdr:colOff>626965</xdr:colOff>
      <xdr:row>69</xdr:row>
      <xdr:rowOff>16072</xdr:rowOff>
    </xdr:from>
    <xdr:to>
      <xdr:col>11</xdr:col>
      <xdr:colOff>138256</xdr:colOff>
      <xdr:row>69</xdr:row>
      <xdr:rowOff>183262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78D09BDB-E676-0D46-97BE-E34EB78B5208}"/>
            </a:ext>
          </a:extLst>
        </xdr:cNvPr>
        <xdr:cNvSpPr/>
      </xdr:nvSpPr>
      <xdr:spPr>
        <a:xfrm flipH="1">
          <a:off x="13515773244" y="13452672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34</a:t>
          </a:r>
          <a:endParaRPr lang="en-US" sz="100"/>
        </a:p>
      </xdr:txBody>
    </xdr:sp>
    <xdr:clientData/>
  </xdr:twoCellAnchor>
  <xdr:twoCellAnchor>
    <xdr:from>
      <xdr:col>10</xdr:col>
      <xdr:colOff>655902</xdr:colOff>
      <xdr:row>77</xdr:row>
      <xdr:rowOff>22502</xdr:rowOff>
    </xdr:from>
    <xdr:to>
      <xdr:col>11</xdr:col>
      <xdr:colOff>167193</xdr:colOff>
      <xdr:row>77</xdr:row>
      <xdr:rowOff>189692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FFBC551E-E778-6649-8159-DC0F408FC605}"/>
            </a:ext>
          </a:extLst>
        </xdr:cNvPr>
        <xdr:cNvSpPr/>
      </xdr:nvSpPr>
      <xdr:spPr>
        <a:xfrm flipH="1">
          <a:off x="13515744307" y="15084702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35</a:t>
          </a:r>
          <a:endParaRPr lang="en-US" sz="100"/>
        </a:p>
      </xdr:txBody>
    </xdr:sp>
    <xdr:clientData/>
  </xdr:twoCellAnchor>
  <xdr:twoCellAnchor>
    <xdr:from>
      <xdr:col>10</xdr:col>
      <xdr:colOff>643041</xdr:colOff>
      <xdr:row>80</xdr:row>
      <xdr:rowOff>28933</xdr:rowOff>
    </xdr:from>
    <xdr:to>
      <xdr:col>11</xdr:col>
      <xdr:colOff>154332</xdr:colOff>
      <xdr:row>80</xdr:row>
      <xdr:rowOff>196123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6AE8863E-2660-FB41-A6DA-A8B5F2DD156A}"/>
            </a:ext>
          </a:extLst>
        </xdr:cNvPr>
        <xdr:cNvSpPr/>
      </xdr:nvSpPr>
      <xdr:spPr>
        <a:xfrm flipH="1">
          <a:off x="13515757168" y="1570073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36</a:t>
          </a:r>
          <a:endParaRPr lang="en-US" sz="100"/>
        </a:p>
      </xdr:txBody>
    </xdr:sp>
    <xdr:clientData/>
  </xdr:twoCellAnchor>
  <xdr:twoCellAnchor>
    <xdr:from>
      <xdr:col>10</xdr:col>
      <xdr:colOff>636611</xdr:colOff>
      <xdr:row>67</xdr:row>
      <xdr:rowOff>32148</xdr:rowOff>
    </xdr:from>
    <xdr:to>
      <xdr:col>11</xdr:col>
      <xdr:colOff>147902</xdr:colOff>
      <xdr:row>67</xdr:row>
      <xdr:rowOff>199338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1FDFCCA2-5C86-F342-AAF1-7EF61984132D}"/>
            </a:ext>
          </a:extLst>
        </xdr:cNvPr>
        <xdr:cNvSpPr/>
      </xdr:nvSpPr>
      <xdr:spPr>
        <a:xfrm flipH="1">
          <a:off x="13515763598" y="13062348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37</a:t>
          </a:r>
          <a:endParaRPr lang="en-US" sz="100"/>
        </a:p>
      </xdr:txBody>
    </xdr:sp>
    <xdr:clientData/>
  </xdr:twoCellAnchor>
  <xdr:twoCellAnchor>
    <xdr:from>
      <xdr:col>9</xdr:col>
      <xdr:colOff>755570</xdr:colOff>
      <xdr:row>72</xdr:row>
      <xdr:rowOff>57873</xdr:rowOff>
    </xdr:from>
    <xdr:to>
      <xdr:col>9</xdr:col>
      <xdr:colOff>801289</xdr:colOff>
      <xdr:row>72</xdr:row>
      <xdr:rowOff>128607</xdr:rowOff>
    </xdr:to>
    <xdr:sp macro="" textlink="">
      <xdr:nvSpPr>
        <xdr:cNvPr id="53" name="Left Arrow 52">
          <a:extLst>
            <a:ext uri="{FF2B5EF4-FFF2-40B4-BE49-F238E27FC236}">
              <a16:creationId xmlns:a16="http://schemas.microsoft.com/office/drawing/2014/main" id="{2BAEE30C-90E8-4040-824E-F30B5D0155A7}"/>
            </a:ext>
          </a:extLst>
        </xdr:cNvPr>
        <xdr:cNvSpPr/>
      </xdr:nvSpPr>
      <xdr:spPr>
        <a:xfrm flipH="1">
          <a:off x="13516761211" y="14104073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11</xdr:col>
      <xdr:colOff>147899</xdr:colOff>
      <xdr:row>67</xdr:row>
      <xdr:rowOff>70733</xdr:rowOff>
    </xdr:from>
    <xdr:to>
      <xdr:col>11</xdr:col>
      <xdr:colOff>193618</xdr:colOff>
      <xdr:row>67</xdr:row>
      <xdr:rowOff>141467</xdr:rowOff>
    </xdr:to>
    <xdr:sp macro="" textlink="">
      <xdr:nvSpPr>
        <xdr:cNvPr id="54" name="Left Arrow 53">
          <a:extLst>
            <a:ext uri="{FF2B5EF4-FFF2-40B4-BE49-F238E27FC236}">
              <a16:creationId xmlns:a16="http://schemas.microsoft.com/office/drawing/2014/main" id="{E1568F7A-0196-1942-AE6C-0B4EF9009B4E}"/>
            </a:ext>
          </a:extLst>
        </xdr:cNvPr>
        <xdr:cNvSpPr/>
      </xdr:nvSpPr>
      <xdr:spPr>
        <a:xfrm flipH="1">
          <a:off x="13515717882" y="13100933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11</xdr:col>
      <xdr:colOff>633395</xdr:colOff>
      <xdr:row>72</xdr:row>
      <xdr:rowOff>22503</xdr:rowOff>
    </xdr:from>
    <xdr:to>
      <xdr:col>12</xdr:col>
      <xdr:colOff>144687</xdr:colOff>
      <xdr:row>72</xdr:row>
      <xdr:rowOff>189693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5CC308F0-0A71-3B41-8EFE-816E5088A94B}"/>
            </a:ext>
          </a:extLst>
        </xdr:cNvPr>
        <xdr:cNvSpPr/>
      </xdr:nvSpPr>
      <xdr:spPr>
        <a:xfrm flipH="1">
          <a:off x="13514941313" y="14068703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38</a:t>
          </a:r>
          <a:endParaRPr lang="en-US" sz="100"/>
        </a:p>
      </xdr:txBody>
    </xdr:sp>
    <xdr:clientData/>
  </xdr:twoCellAnchor>
  <xdr:twoCellAnchor>
    <xdr:from>
      <xdr:col>11</xdr:col>
      <xdr:colOff>633395</xdr:colOff>
      <xdr:row>68</xdr:row>
      <xdr:rowOff>12857</xdr:rowOff>
    </xdr:from>
    <xdr:to>
      <xdr:col>12</xdr:col>
      <xdr:colOff>144687</xdr:colOff>
      <xdr:row>68</xdr:row>
      <xdr:rowOff>180047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726756CD-4DB3-FC4E-B60C-4B45FF2B2DC8}"/>
            </a:ext>
          </a:extLst>
        </xdr:cNvPr>
        <xdr:cNvSpPr/>
      </xdr:nvSpPr>
      <xdr:spPr>
        <a:xfrm flipH="1">
          <a:off x="13514941313" y="13246257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39</a:t>
          </a:r>
          <a:endParaRPr lang="en-US" sz="100"/>
        </a:p>
      </xdr:txBody>
    </xdr:sp>
    <xdr:clientData/>
  </xdr:twoCellAnchor>
  <xdr:twoCellAnchor>
    <xdr:from>
      <xdr:col>11</xdr:col>
      <xdr:colOff>649471</xdr:colOff>
      <xdr:row>70</xdr:row>
      <xdr:rowOff>3212</xdr:rowOff>
    </xdr:from>
    <xdr:to>
      <xdr:col>12</xdr:col>
      <xdr:colOff>160763</xdr:colOff>
      <xdr:row>70</xdr:row>
      <xdr:rowOff>170402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9A23F706-23EC-E443-B197-4709E5223BA1}"/>
            </a:ext>
          </a:extLst>
        </xdr:cNvPr>
        <xdr:cNvSpPr/>
      </xdr:nvSpPr>
      <xdr:spPr>
        <a:xfrm flipH="1">
          <a:off x="13514925237" y="13643012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40</a:t>
          </a:r>
          <a:endParaRPr lang="en-US" sz="100"/>
        </a:p>
      </xdr:txBody>
    </xdr:sp>
    <xdr:clientData/>
  </xdr:twoCellAnchor>
  <xdr:twoCellAnchor>
    <xdr:from>
      <xdr:col>11</xdr:col>
      <xdr:colOff>684838</xdr:colOff>
      <xdr:row>82</xdr:row>
      <xdr:rowOff>22503</xdr:rowOff>
    </xdr:from>
    <xdr:to>
      <xdr:col>12</xdr:col>
      <xdr:colOff>196130</xdr:colOff>
      <xdr:row>82</xdr:row>
      <xdr:rowOff>189693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75DF759B-BD45-BA48-ADB4-8784026E53CA}"/>
            </a:ext>
          </a:extLst>
        </xdr:cNvPr>
        <xdr:cNvSpPr/>
      </xdr:nvSpPr>
      <xdr:spPr>
        <a:xfrm flipH="1">
          <a:off x="13514889870" y="16100703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41</a:t>
          </a:r>
          <a:endParaRPr lang="en-US" sz="100"/>
        </a:p>
      </xdr:txBody>
    </xdr:sp>
    <xdr:clientData/>
  </xdr:twoCellAnchor>
  <xdr:twoCellAnchor>
    <xdr:from>
      <xdr:col>11</xdr:col>
      <xdr:colOff>697699</xdr:colOff>
      <xdr:row>80</xdr:row>
      <xdr:rowOff>16073</xdr:rowOff>
    </xdr:from>
    <xdr:to>
      <xdr:col>12</xdr:col>
      <xdr:colOff>208991</xdr:colOff>
      <xdr:row>80</xdr:row>
      <xdr:rowOff>183263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2CC2C480-4084-7A4C-BC45-3075D249157D}"/>
            </a:ext>
          </a:extLst>
        </xdr:cNvPr>
        <xdr:cNvSpPr/>
      </xdr:nvSpPr>
      <xdr:spPr>
        <a:xfrm flipH="1">
          <a:off x="13514877009" y="15687873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42</a:t>
          </a:r>
          <a:endParaRPr lang="en-US" sz="100"/>
        </a:p>
      </xdr:txBody>
    </xdr:sp>
    <xdr:clientData/>
  </xdr:twoCellAnchor>
  <xdr:twoCellAnchor>
    <xdr:from>
      <xdr:col>11</xdr:col>
      <xdr:colOff>807013</xdr:colOff>
      <xdr:row>67</xdr:row>
      <xdr:rowOff>73948</xdr:rowOff>
    </xdr:from>
    <xdr:to>
      <xdr:col>12</xdr:col>
      <xdr:colOff>26429</xdr:colOff>
      <xdr:row>67</xdr:row>
      <xdr:rowOff>144682</xdr:rowOff>
    </xdr:to>
    <xdr:sp macro="" textlink="">
      <xdr:nvSpPr>
        <xdr:cNvPr id="60" name="Left Arrow 59">
          <a:extLst>
            <a:ext uri="{FF2B5EF4-FFF2-40B4-BE49-F238E27FC236}">
              <a16:creationId xmlns:a16="http://schemas.microsoft.com/office/drawing/2014/main" id="{3F301533-BA8B-D34D-98C5-16E8BC80BC2B}"/>
            </a:ext>
          </a:extLst>
        </xdr:cNvPr>
        <xdr:cNvSpPr/>
      </xdr:nvSpPr>
      <xdr:spPr>
        <a:xfrm flipH="1">
          <a:off x="13515059571" y="13104148"/>
          <a:ext cx="44916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12</xdr:col>
      <xdr:colOff>160761</xdr:colOff>
      <xdr:row>72</xdr:row>
      <xdr:rowOff>73949</xdr:rowOff>
    </xdr:from>
    <xdr:to>
      <xdr:col>12</xdr:col>
      <xdr:colOff>206480</xdr:colOff>
      <xdr:row>72</xdr:row>
      <xdr:rowOff>144683</xdr:rowOff>
    </xdr:to>
    <xdr:sp macro="" textlink="">
      <xdr:nvSpPr>
        <xdr:cNvPr id="61" name="Left Arrow 60">
          <a:extLst>
            <a:ext uri="{FF2B5EF4-FFF2-40B4-BE49-F238E27FC236}">
              <a16:creationId xmlns:a16="http://schemas.microsoft.com/office/drawing/2014/main" id="{819CB5F3-250D-AC42-8D89-14019910DC1B}"/>
            </a:ext>
          </a:extLst>
        </xdr:cNvPr>
        <xdr:cNvSpPr/>
      </xdr:nvSpPr>
      <xdr:spPr>
        <a:xfrm flipH="1">
          <a:off x="13514879520" y="1412014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12</xdr:col>
      <xdr:colOff>610890</xdr:colOff>
      <xdr:row>68</xdr:row>
      <xdr:rowOff>16073</xdr:rowOff>
    </xdr:from>
    <xdr:to>
      <xdr:col>13</xdr:col>
      <xdr:colOff>122181</xdr:colOff>
      <xdr:row>68</xdr:row>
      <xdr:rowOff>183263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6F9A9BD1-3343-744C-B7CA-CC863C58BE29}"/>
            </a:ext>
          </a:extLst>
        </xdr:cNvPr>
        <xdr:cNvSpPr/>
      </xdr:nvSpPr>
      <xdr:spPr>
        <a:xfrm flipH="1">
          <a:off x="13514138319" y="1324947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43</a:t>
          </a:r>
          <a:endParaRPr lang="en-US" sz="100"/>
        </a:p>
      </xdr:txBody>
    </xdr:sp>
    <xdr:clientData/>
  </xdr:twoCellAnchor>
  <xdr:twoCellAnchor>
    <xdr:from>
      <xdr:col>12</xdr:col>
      <xdr:colOff>620536</xdr:colOff>
      <xdr:row>70</xdr:row>
      <xdr:rowOff>32150</xdr:rowOff>
    </xdr:from>
    <xdr:to>
      <xdr:col>13</xdr:col>
      <xdr:colOff>131827</xdr:colOff>
      <xdr:row>70</xdr:row>
      <xdr:rowOff>199340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1A30B5C3-113C-0543-AC55-D2FFAA14EC6F}"/>
            </a:ext>
          </a:extLst>
        </xdr:cNvPr>
        <xdr:cNvSpPr/>
      </xdr:nvSpPr>
      <xdr:spPr>
        <a:xfrm flipH="1">
          <a:off x="13514128673" y="13671950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44</a:t>
          </a:r>
          <a:endParaRPr lang="en-US" sz="100"/>
        </a:p>
      </xdr:txBody>
    </xdr:sp>
    <xdr:clientData/>
  </xdr:twoCellAnchor>
  <xdr:twoCellAnchor>
    <xdr:from>
      <xdr:col>12</xdr:col>
      <xdr:colOff>614106</xdr:colOff>
      <xdr:row>82</xdr:row>
      <xdr:rowOff>19289</xdr:rowOff>
    </xdr:from>
    <xdr:to>
      <xdr:col>13</xdr:col>
      <xdr:colOff>125397</xdr:colOff>
      <xdr:row>82</xdr:row>
      <xdr:rowOff>186479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AC8EEB17-E3E6-224C-BAF8-0FF0E70755E9}"/>
            </a:ext>
          </a:extLst>
        </xdr:cNvPr>
        <xdr:cNvSpPr/>
      </xdr:nvSpPr>
      <xdr:spPr>
        <a:xfrm flipH="1">
          <a:off x="13514135103" y="1609748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45</a:t>
          </a:r>
          <a:endParaRPr lang="en-US" sz="100"/>
        </a:p>
      </xdr:txBody>
    </xdr:sp>
    <xdr:clientData/>
  </xdr:twoCellAnchor>
  <xdr:twoCellAnchor>
    <xdr:from>
      <xdr:col>12</xdr:col>
      <xdr:colOff>620536</xdr:colOff>
      <xdr:row>80</xdr:row>
      <xdr:rowOff>22505</xdr:rowOff>
    </xdr:from>
    <xdr:to>
      <xdr:col>13</xdr:col>
      <xdr:colOff>131827</xdr:colOff>
      <xdr:row>80</xdr:row>
      <xdr:rowOff>189695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4E4794AC-0E8A-8348-AD73-A3F536BB8B32}"/>
            </a:ext>
          </a:extLst>
        </xdr:cNvPr>
        <xdr:cNvSpPr/>
      </xdr:nvSpPr>
      <xdr:spPr>
        <a:xfrm flipH="1">
          <a:off x="13514128673" y="1569430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46</a:t>
          </a:r>
          <a:endParaRPr lang="en-US" sz="100"/>
        </a:p>
      </xdr:txBody>
    </xdr:sp>
    <xdr:clientData/>
  </xdr:twoCellAnchor>
  <xdr:twoCellAnchor>
    <xdr:from>
      <xdr:col>13</xdr:col>
      <xdr:colOff>639827</xdr:colOff>
      <xdr:row>70</xdr:row>
      <xdr:rowOff>19290</xdr:rowOff>
    </xdr:from>
    <xdr:to>
      <xdr:col>14</xdr:col>
      <xdr:colOff>151118</xdr:colOff>
      <xdr:row>70</xdr:row>
      <xdr:rowOff>186480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CCE4ABC4-E886-D943-A65D-AF1BAE4C0170}"/>
            </a:ext>
          </a:extLst>
        </xdr:cNvPr>
        <xdr:cNvSpPr/>
      </xdr:nvSpPr>
      <xdr:spPr>
        <a:xfrm flipH="1">
          <a:off x="13513283882" y="13659090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47</a:t>
          </a:r>
          <a:endParaRPr lang="en-US" sz="100"/>
        </a:p>
      </xdr:txBody>
    </xdr:sp>
    <xdr:clientData/>
  </xdr:twoCellAnchor>
  <xdr:twoCellAnchor>
    <xdr:from>
      <xdr:col>12</xdr:col>
      <xdr:colOff>745925</xdr:colOff>
      <xdr:row>72</xdr:row>
      <xdr:rowOff>67519</xdr:rowOff>
    </xdr:from>
    <xdr:to>
      <xdr:col>12</xdr:col>
      <xdr:colOff>791644</xdr:colOff>
      <xdr:row>72</xdr:row>
      <xdr:rowOff>138253</xdr:rowOff>
    </xdr:to>
    <xdr:sp macro="" textlink="">
      <xdr:nvSpPr>
        <xdr:cNvPr id="67" name="Left Arrow 66">
          <a:extLst>
            <a:ext uri="{FF2B5EF4-FFF2-40B4-BE49-F238E27FC236}">
              <a16:creationId xmlns:a16="http://schemas.microsoft.com/office/drawing/2014/main" id="{78495492-2FEB-B349-8E89-71C3C2DB238C}"/>
            </a:ext>
          </a:extLst>
        </xdr:cNvPr>
        <xdr:cNvSpPr/>
      </xdr:nvSpPr>
      <xdr:spPr>
        <a:xfrm flipH="1">
          <a:off x="13514294356" y="1411371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13</xdr:col>
      <xdr:colOff>675194</xdr:colOff>
      <xdr:row>68</xdr:row>
      <xdr:rowOff>22505</xdr:rowOff>
    </xdr:from>
    <xdr:to>
      <xdr:col>14</xdr:col>
      <xdr:colOff>186485</xdr:colOff>
      <xdr:row>68</xdr:row>
      <xdr:rowOff>189695</xdr:rowOff>
    </xdr:to>
    <xdr:sp macro="" textlink="">
      <xdr:nvSpPr>
        <xdr:cNvPr id="68" name="Rectangle 67">
          <a:extLst>
            <a:ext uri="{FF2B5EF4-FFF2-40B4-BE49-F238E27FC236}">
              <a16:creationId xmlns:a16="http://schemas.microsoft.com/office/drawing/2014/main" id="{05C29323-66E1-8242-B98B-5CDDF58B1AB5}"/>
            </a:ext>
          </a:extLst>
        </xdr:cNvPr>
        <xdr:cNvSpPr/>
      </xdr:nvSpPr>
      <xdr:spPr>
        <a:xfrm flipH="1">
          <a:off x="13513248515" y="1325590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48</a:t>
          </a:r>
          <a:endParaRPr lang="en-US" sz="100"/>
        </a:p>
      </xdr:txBody>
    </xdr:sp>
    <xdr:clientData/>
  </xdr:twoCellAnchor>
  <xdr:twoCellAnchor>
    <xdr:from>
      <xdr:col>13</xdr:col>
      <xdr:colOff>636612</xdr:colOff>
      <xdr:row>78</xdr:row>
      <xdr:rowOff>9645</xdr:rowOff>
    </xdr:from>
    <xdr:to>
      <xdr:col>14</xdr:col>
      <xdr:colOff>147903</xdr:colOff>
      <xdr:row>78</xdr:row>
      <xdr:rowOff>176835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34C10A7E-32AD-4940-A2A5-4C922F05F268}"/>
            </a:ext>
          </a:extLst>
        </xdr:cNvPr>
        <xdr:cNvSpPr/>
      </xdr:nvSpPr>
      <xdr:spPr>
        <a:xfrm flipH="1">
          <a:off x="13513287097" y="1527504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49</a:t>
          </a:r>
          <a:endParaRPr lang="en-US" sz="100"/>
        </a:p>
      </xdr:txBody>
    </xdr:sp>
    <xdr:clientData/>
  </xdr:twoCellAnchor>
  <xdr:twoCellAnchor>
    <xdr:from>
      <xdr:col>13</xdr:col>
      <xdr:colOff>655903</xdr:colOff>
      <xdr:row>80</xdr:row>
      <xdr:rowOff>6429</xdr:rowOff>
    </xdr:from>
    <xdr:to>
      <xdr:col>14</xdr:col>
      <xdr:colOff>167194</xdr:colOff>
      <xdr:row>80</xdr:row>
      <xdr:rowOff>173619</xdr:rowOff>
    </xdr:to>
    <xdr:sp macro="" textlink="">
      <xdr:nvSpPr>
        <xdr:cNvPr id="70" name="Rectangle 69">
          <a:extLst>
            <a:ext uri="{FF2B5EF4-FFF2-40B4-BE49-F238E27FC236}">
              <a16:creationId xmlns:a16="http://schemas.microsoft.com/office/drawing/2014/main" id="{267D4012-5E32-1349-9655-2D189C538F6A}"/>
            </a:ext>
          </a:extLst>
        </xdr:cNvPr>
        <xdr:cNvSpPr/>
      </xdr:nvSpPr>
      <xdr:spPr>
        <a:xfrm flipH="1">
          <a:off x="13513267806" y="1567822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50</a:t>
          </a:r>
          <a:endParaRPr lang="en-US" sz="100"/>
        </a:p>
      </xdr:txBody>
    </xdr:sp>
    <xdr:clientData/>
  </xdr:twoCellAnchor>
  <xdr:twoCellAnchor>
    <xdr:from>
      <xdr:col>13</xdr:col>
      <xdr:colOff>128608</xdr:colOff>
      <xdr:row>82</xdr:row>
      <xdr:rowOff>67519</xdr:rowOff>
    </xdr:from>
    <xdr:to>
      <xdr:col>13</xdr:col>
      <xdr:colOff>174327</xdr:colOff>
      <xdr:row>82</xdr:row>
      <xdr:rowOff>138253</xdr:rowOff>
    </xdr:to>
    <xdr:sp macro="" textlink="">
      <xdr:nvSpPr>
        <xdr:cNvPr id="71" name="Left Arrow 70">
          <a:extLst>
            <a:ext uri="{FF2B5EF4-FFF2-40B4-BE49-F238E27FC236}">
              <a16:creationId xmlns:a16="http://schemas.microsoft.com/office/drawing/2014/main" id="{77224E3B-2551-6047-9D81-61BFB95A70EE}"/>
            </a:ext>
          </a:extLst>
        </xdr:cNvPr>
        <xdr:cNvSpPr/>
      </xdr:nvSpPr>
      <xdr:spPr>
        <a:xfrm flipH="1">
          <a:off x="13514086173" y="1614571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14</xdr:col>
      <xdr:colOff>1</xdr:colOff>
      <xdr:row>67</xdr:row>
      <xdr:rowOff>73949</xdr:rowOff>
    </xdr:from>
    <xdr:to>
      <xdr:col>14</xdr:col>
      <xdr:colOff>45720</xdr:colOff>
      <xdr:row>67</xdr:row>
      <xdr:rowOff>144683</xdr:rowOff>
    </xdr:to>
    <xdr:sp macro="" textlink="">
      <xdr:nvSpPr>
        <xdr:cNvPr id="72" name="Left Arrow 71">
          <a:extLst>
            <a:ext uri="{FF2B5EF4-FFF2-40B4-BE49-F238E27FC236}">
              <a16:creationId xmlns:a16="http://schemas.microsoft.com/office/drawing/2014/main" id="{31498498-D9D8-ED4B-90A6-31FB997C8297}"/>
            </a:ext>
          </a:extLst>
        </xdr:cNvPr>
        <xdr:cNvSpPr/>
      </xdr:nvSpPr>
      <xdr:spPr>
        <a:xfrm flipH="1">
          <a:off x="13513389280" y="1310414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14</xdr:col>
      <xdr:colOff>620536</xdr:colOff>
      <xdr:row>72</xdr:row>
      <xdr:rowOff>28935</xdr:rowOff>
    </xdr:from>
    <xdr:to>
      <xdr:col>15</xdr:col>
      <xdr:colOff>131827</xdr:colOff>
      <xdr:row>72</xdr:row>
      <xdr:rowOff>196125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6CD22F3D-A7E7-6A45-9722-D2FEAC3B0B8A}"/>
            </a:ext>
          </a:extLst>
        </xdr:cNvPr>
        <xdr:cNvSpPr/>
      </xdr:nvSpPr>
      <xdr:spPr>
        <a:xfrm flipH="1">
          <a:off x="13512477673" y="1407513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51</a:t>
          </a:r>
          <a:endParaRPr lang="en-US" sz="100"/>
        </a:p>
      </xdr:txBody>
    </xdr:sp>
    <xdr:clientData/>
  </xdr:twoCellAnchor>
  <xdr:twoCellAnchor>
    <xdr:from>
      <xdr:col>14</xdr:col>
      <xdr:colOff>639827</xdr:colOff>
      <xdr:row>68</xdr:row>
      <xdr:rowOff>28935</xdr:rowOff>
    </xdr:from>
    <xdr:to>
      <xdr:col>15</xdr:col>
      <xdr:colOff>151118</xdr:colOff>
      <xdr:row>68</xdr:row>
      <xdr:rowOff>196125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60F16EF4-A172-AF42-8BCD-A18E5C9856B4}"/>
            </a:ext>
          </a:extLst>
        </xdr:cNvPr>
        <xdr:cNvSpPr/>
      </xdr:nvSpPr>
      <xdr:spPr>
        <a:xfrm flipH="1">
          <a:off x="13512458382" y="1326233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52</a:t>
          </a:r>
          <a:endParaRPr lang="en-US" sz="100"/>
        </a:p>
      </xdr:txBody>
    </xdr:sp>
    <xdr:clientData/>
  </xdr:twoCellAnchor>
  <xdr:twoCellAnchor>
    <xdr:from>
      <xdr:col>14</xdr:col>
      <xdr:colOff>630182</xdr:colOff>
      <xdr:row>70</xdr:row>
      <xdr:rowOff>12860</xdr:rowOff>
    </xdr:from>
    <xdr:to>
      <xdr:col>15</xdr:col>
      <xdr:colOff>141473</xdr:colOff>
      <xdr:row>70</xdr:row>
      <xdr:rowOff>180050</xdr:rowOff>
    </xdr:to>
    <xdr:sp macro="" textlink="">
      <xdr:nvSpPr>
        <xdr:cNvPr id="75" name="Rectangle 74">
          <a:extLst>
            <a:ext uri="{FF2B5EF4-FFF2-40B4-BE49-F238E27FC236}">
              <a16:creationId xmlns:a16="http://schemas.microsoft.com/office/drawing/2014/main" id="{FF3E51D0-6E92-D043-B1FB-8B02ACE8C667}"/>
            </a:ext>
          </a:extLst>
        </xdr:cNvPr>
        <xdr:cNvSpPr/>
      </xdr:nvSpPr>
      <xdr:spPr>
        <a:xfrm flipH="1">
          <a:off x="13512468027" y="13652660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53</a:t>
          </a:r>
          <a:endParaRPr lang="en-US" sz="100"/>
        </a:p>
      </xdr:txBody>
    </xdr:sp>
    <xdr:clientData/>
  </xdr:twoCellAnchor>
  <xdr:twoCellAnchor>
    <xdr:from>
      <xdr:col>14</xdr:col>
      <xdr:colOff>598030</xdr:colOff>
      <xdr:row>82</xdr:row>
      <xdr:rowOff>16074</xdr:rowOff>
    </xdr:from>
    <xdr:to>
      <xdr:col>15</xdr:col>
      <xdr:colOff>109321</xdr:colOff>
      <xdr:row>82</xdr:row>
      <xdr:rowOff>183264</xdr:rowOff>
    </xdr:to>
    <xdr:sp macro="" textlink="">
      <xdr:nvSpPr>
        <xdr:cNvPr id="76" name="Rectangle 75">
          <a:extLst>
            <a:ext uri="{FF2B5EF4-FFF2-40B4-BE49-F238E27FC236}">
              <a16:creationId xmlns:a16="http://schemas.microsoft.com/office/drawing/2014/main" id="{0C777353-AE5C-C74D-9969-F60D600F77E2}"/>
            </a:ext>
          </a:extLst>
        </xdr:cNvPr>
        <xdr:cNvSpPr/>
      </xdr:nvSpPr>
      <xdr:spPr>
        <a:xfrm flipH="1">
          <a:off x="13512500179" y="16094274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54</a:t>
          </a:r>
          <a:endParaRPr lang="en-US" sz="100"/>
        </a:p>
      </xdr:txBody>
    </xdr:sp>
    <xdr:clientData/>
  </xdr:twoCellAnchor>
  <xdr:twoCellAnchor>
    <xdr:from>
      <xdr:col>14</xdr:col>
      <xdr:colOff>607676</xdr:colOff>
      <xdr:row>80</xdr:row>
      <xdr:rowOff>19289</xdr:rowOff>
    </xdr:from>
    <xdr:to>
      <xdr:col>15</xdr:col>
      <xdr:colOff>118967</xdr:colOff>
      <xdr:row>80</xdr:row>
      <xdr:rowOff>186479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AC46A26B-2115-774E-A1FB-1CE9C87A6C9A}"/>
            </a:ext>
          </a:extLst>
        </xdr:cNvPr>
        <xdr:cNvSpPr/>
      </xdr:nvSpPr>
      <xdr:spPr>
        <a:xfrm flipH="1">
          <a:off x="13512490533" y="1569108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55</a:t>
          </a:r>
          <a:endParaRPr lang="en-US" sz="100"/>
        </a:p>
      </xdr:txBody>
    </xdr:sp>
    <xdr:clientData/>
  </xdr:twoCellAnchor>
  <xdr:twoCellAnchor>
    <xdr:from>
      <xdr:col>15</xdr:col>
      <xdr:colOff>141469</xdr:colOff>
      <xdr:row>72</xdr:row>
      <xdr:rowOff>77165</xdr:rowOff>
    </xdr:from>
    <xdr:to>
      <xdr:col>15</xdr:col>
      <xdr:colOff>187188</xdr:colOff>
      <xdr:row>72</xdr:row>
      <xdr:rowOff>147899</xdr:rowOff>
    </xdr:to>
    <xdr:sp macro="" textlink="">
      <xdr:nvSpPr>
        <xdr:cNvPr id="78" name="Left Arrow 77">
          <a:extLst>
            <a:ext uri="{FF2B5EF4-FFF2-40B4-BE49-F238E27FC236}">
              <a16:creationId xmlns:a16="http://schemas.microsoft.com/office/drawing/2014/main" id="{393D6579-564D-454B-AB33-527E528F9BA4}"/>
            </a:ext>
          </a:extLst>
        </xdr:cNvPr>
        <xdr:cNvSpPr/>
      </xdr:nvSpPr>
      <xdr:spPr>
        <a:xfrm flipH="1">
          <a:off x="13512422312" y="14123365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 editAs="oneCell">
    <xdr:from>
      <xdr:col>5</xdr:col>
      <xdr:colOff>122155</xdr:colOff>
      <xdr:row>87</xdr:row>
      <xdr:rowOff>47413</xdr:rowOff>
    </xdr:from>
    <xdr:to>
      <xdr:col>8</xdr:col>
      <xdr:colOff>5926</xdr:colOff>
      <xdr:row>98</xdr:row>
      <xdr:rowOff>172718</xdr:rowOff>
    </xdr:to>
    <xdr:pic>
      <xdr:nvPicPr>
        <xdr:cNvPr id="79" name="Picture 78" descr="A 20-year-old student who looks younger than her age, with brown hair and round eyes, wearing earrings, a brown tank top, and blue jeans. She is studying financial accounting while eating many hot dogs. She is sitting at a desk with books and a laptop, surrounded by hot dog wrappers.">
          <a:extLst>
            <a:ext uri="{FF2B5EF4-FFF2-40B4-BE49-F238E27FC236}">
              <a16:creationId xmlns:a16="http://schemas.microsoft.com/office/drawing/2014/main" id="{1B2A9EC7-5473-8E49-801E-4DD1C38AEC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382074" y="64944413"/>
          <a:ext cx="2360271" cy="2360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36030</xdr:colOff>
      <xdr:row>87</xdr:row>
      <xdr:rowOff>61839</xdr:rowOff>
    </xdr:from>
    <xdr:to>
      <xdr:col>11</xdr:col>
      <xdr:colOff>590236</xdr:colOff>
      <xdr:row>98</xdr:row>
      <xdr:rowOff>32649</xdr:rowOff>
    </xdr:to>
    <xdr:pic>
      <xdr:nvPicPr>
        <xdr:cNvPr id="80" name="Picture 79" descr="A very happy 20-year-old student who looks younger than her age, with brown hair and round eyes, wearing a brown tank top and blue jeans. She is celebrating her success in an accounting exercise. She is surrounded by many hot dogs, making the scene funnier. She is sitting at a desk with books and a laptop, with hot dog wrappers everywhere. Her facial expression shows extreme joy and excitement.">
          <a:extLst>
            <a:ext uri="{FF2B5EF4-FFF2-40B4-BE49-F238E27FC236}">
              <a16:creationId xmlns:a16="http://schemas.microsoft.com/office/drawing/2014/main" id="{52CBB8D0-E690-6241-AB16-6BB52CD2F7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5321264" y="64958839"/>
          <a:ext cx="2205206" cy="2206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117092</xdr:colOff>
      <xdr:row>92</xdr:row>
      <xdr:rowOff>13511</xdr:rowOff>
    </xdr:from>
    <xdr:to>
      <xdr:col>8</xdr:col>
      <xdr:colOff>680036</xdr:colOff>
      <xdr:row>93</xdr:row>
      <xdr:rowOff>121595</xdr:rowOff>
    </xdr:to>
    <xdr:sp macro="" textlink="">
      <xdr:nvSpPr>
        <xdr:cNvPr id="81" name="Left Arrow 80">
          <a:extLst>
            <a:ext uri="{FF2B5EF4-FFF2-40B4-BE49-F238E27FC236}">
              <a16:creationId xmlns:a16="http://schemas.microsoft.com/office/drawing/2014/main" id="{52724EB0-C931-A74B-90F2-477DBEAEC752}"/>
            </a:ext>
          </a:extLst>
        </xdr:cNvPr>
        <xdr:cNvSpPr/>
      </xdr:nvSpPr>
      <xdr:spPr>
        <a:xfrm flipH="1">
          <a:off x="13517707964" y="18123711"/>
          <a:ext cx="562944" cy="31128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157339</xdr:rowOff>
    </xdr:from>
    <xdr:to>
      <xdr:col>6</xdr:col>
      <xdr:colOff>93125</xdr:colOff>
      <xdr:row>15</xdr:row>
      <xdr:rowOff>153680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DE30A9-37A5-CC82-5434-4C63F3DE6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945875" y="2379839"/>
          <a:ext cx="5046125" cy="804523"/>
        </a:xfrm>
        <a:prstGeom prst="rect">
          <a:avLst/>
        </a:prstGeom>
      </xdr:spPr>
    </xdr:pic>
    <xdr:clientData/>
  </xdr:twoCellAnchor>
  <xdr:twoCellAnchor>
    <xdr:from>
      <xdr:col>3</xdr:col>
      <xdr:colOff>490859</xdr:colOff>
      <xdr:row>125</xdr:row>
      <xdr:rowOff>105184</xdr:rowOff>
    </xdr:from>
    <xdr:to>
      <xdr:col>3</xdr:col>
      <xdr:colOff>790828</xdr:colOff>
      <xdr:row>125</xdr:row>
      <xdr:rowOff>109080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6291482-DDA7-B544-AD12-1A4D6C80E439}"/>
            </a:ext>
          </a:extLst>
        </xdr:cNvPr>
        <xdr:cNvCxnSpPr/>
      </xdr:nvCxnSpPr>
      <xdr:spPr>
        <a:xfrm flipH="1" flipV="1">
          <a:off x="13514320572" y="44288484"/>
          <a:ext cx="299969" cy="38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751871</xdr:colOff>
      <xdr:row>125</xdr:row>
      <xdr:rowOff>175307</xdr:rowOff>
    </xdr:from>
    <xdr:to>
      <xdr:col>3</xdr:col>
      <xdr:colOff>755767</xdr:colOff>
      <xdr:row>127</xdr:row>
      <xdr:rowOff>128558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121078B-7190-1741-8CD4-8D07FB7F786E}"/>
            </a:ext>
          </a:extLst>
        </xdr:cNvPr>
        <xdr:cNvCxnSpPr/>
      </xdr:nvCxnSpPr>
      <xdr:spPr>
        <a:xfrm flipH="1">
          <a:off x="13514355633" y="44358607"/>
          <a:ext cx="3896" cy="3596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479172</xdr:colOff>
      <xdr:row>124</xdr:row>
      <xdr:rowOff>120766</xdr:rowOff>
    </xdr:from>
    <xdr:to>
      <xdr:col>5</xdr:col>
      <xdr:colOff>779141</xdr:colOff>
      <xdr:row>124</xdr:row>
      <xdr:rowOff>124662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5F72B8A-73DC-B340-A815-9E28F23DE144}"/>
            </a:ext>
          </a:extLst>
        </xdr:cNvPr>
        <xdr:cNvCxnSpPr/>
      </xdr:nvCxnSpPr>
      <xdr:spPr>
        <a:xfrm flipH="1" flipV="1">
          <a:off x="13512655859" y="44100866"/>
          <a:ext cx="299969" cy="38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775245</xdr:colOff>
      <xdr:row>124</xdr:row>
      <xdr:rowOff>163619</xdr:rowOff>
    </xdr:from>
    <xdr:to>
      <xdr:col>5</xdr:col>
      <xdr:colOff>779141</xdr:colOff>
      <xdr:row>128</xdr:row>
      <xdr:rowOff>81810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7341E2D-9C70-FB43-9DFC-D7D2688992A0}"/>
            </a:ext>
          </a:extLst>
        </xdr:cNvPr>
        <xdr:cNvCxnSpPr/>
      </xdr:nvCxnSpPr>
      <xdr:spPr>
        <a:xfrm flipH="1">
          <a:off x="13512655859" y="44143719"/>
          <a:ext cx="3896" cy="73099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431800</xdr:colOff>
      <xdr:row>143</xdr:row>
      <xdr:rowOff>120650</xdr:rowOff>
    </xdr:from>
    <xdr:to>
      <xdr:col>15</xdr:col>
      <xdr:colOff>0</xdr:colOff>
      <xdr:row>143</xdr:row>
      <xdr:rowOff>127000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BD4CBB6E-9F95-F3DC-FD69-39EF6B30A9F4}"/>
            </a:ext>
          </a:extLst>
        </xdr:cNvPr>
        <xdr:cNvCxnSpPr/>
      </xdr:nvCxnSpPr>
      <xdr:spPr>
        <a:xfrm flipH="1">
          <a:off x="13512609500" y="29254450"/>
          <a:ext cx="39370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12700</xdr:colOff>
      <xdr:row>143</xdr:row>
      <xdr:rowOff>171450</xdr:rowOff>
    </xdr:from>
    <xdr:to>
      <xdr:col>15</xdr:col>
      <xdr:colOff>19050</xdr:colOff>
      <xdr:row>147</xdr:row>
      <xdr:rowOff>95250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580C474A-1109-B07F-54B2-67A6D802DC28}"/>
            </a:ext>
          </a:extLst>
        </xdr:cNvPr>
        <xdr:cNvCxnSpPr/>
      </xdr:nvCxnSpPr>
      <xdr:spPr>
        <a:xfrm flipH="1">
          <a:off x="13512590450" y="29305250"/>
          <a:ext cx="6350" cy="736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330199</xdr:colOff>
      <xdr:row>5</xdr:row>
      <xdr:rowOff>16933</xdr:rowOff>
    </xdr:from>
    <xdr:to>
      <xdr:col>35</xdr:col>
      <xdr:colOff>613832</xdr:colOff>
      <xdr:row>16</xdr:row>
      <xdr:rowOff>42333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D8A1F8-9EC4-FBC0-B2C6-78D1E2E68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4696434" y="1032933"/>
          <a:ext cx="1943100" cy="2260600"/>
        </a:xfrm>
        <a:prstGeom prst="rect">
          <a:avLst/>
        </a:prstGeom>
      </xdr:spPr>
    </xdr:pic>
    <xdr:clientData/>
  </xdr:twoCellAnchor>
  <xdr:twoCellAnchor>
    <xdr:from>
      <xdr:col>10</xdr:col>
      <xdr:colOff>714375</xdr:colOff>
      <xdr:row>79</xdr:row>
      <xdr:rowOff>127000</xdr:rowOff>
    </xdr:from>
    <xdr:to>
      <xdr:col>11</xdr:col>
      <xdr:colOff>79375</xdr:colOff>
      <xdr:row>82</xdr:row>
      <xdr:rowOff>95250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FD1ABB8-9F84-6264-FB58-C96BE83CFAB0}"/>
            </a:ext>
          </a:extLst>
        </xdr:cNvPr>
        <xdr:cNvCxnSpPr/>
      </xdr:nvCxnSpPr>
      <xdr:spPr>
        <a:xfrm flipH="1" flipV="1">
          <a:off x="13515855938" y="16017875"/>
          <a:ext cx="190500" cy="5873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666750</xdr:colOff>
      <xdr:row>85</xdr:row>
      <xdr:rowOff>134937</xdr:rowOff>
    </xdr:from>
    <xdr:to>
      <xdr:col>11</xdr:col>
      <xdr:colOff>31750</xdr:colOff>
      <xdr:row>88</xdr:row>
      <xdr:rowOff>103187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E24B7A56-0EB9-29AE-5BAF-751D4DE279AB}"/>
            </a:ext>
          </a:extLst>
        </xdr:cNvPr>
        <xdr:cNvCxnSpPr/>
      </xdr:nvCxnSpPr>
      <xdr:spPr>
        <a:xfrm flipH="1" flipV="1">
          <a:off x="13515903563" y="17264062"/>
          <a:ext cx="190500" cy="5873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730250</xdr:colOff>
      <xdr:row>85</xdr:row>
      <xdr:rowOff>87312</xdr:rowOff>
    </xdr:from>
    <xdr:to>
      <xdr:col>12</xdr:col>
      <xdr:colOff>47625</xdr:colOff>
      <xdr:row>88</xdr:row>
      <xdr:rowOff>55562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877F699-C908-D480-68EA-A0D66E07DE43}"/>
            </a:ext>
          </a:extLst>
        </xdr:cNvPr>
        <xdr:cNvCxnSpPr/>
      </xdr:nvCxnSpPr>
      <xdr:spPr>
        <a:xfrm flipH="1" flipV="1">
          <a:off x="13515038375" y="17216437"/>
          <a:ext cx="190500" cy="5873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3628</xdr:colOff>
      <xdr:row>38</xdr:row>
      <xdr:rowOff>29029</xdr:rowOff>
    </xdr:from>
    <xdr:to>
      <xdr:col>6</xdr:col>
      <xdr:colOff>188685</xdr:colOff>
      <xdr:row>39</xdr:row>
      <xdr:rowOff>10886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54CE819-4EFE-2C43-A02E-59F0508AE611}"/>
            </a:ext>
          </a:extLst>
        </xdr:cNvPr>
        <xdr:cNvSpPr/>
      </xdr:nvSpPr>
      <xdr:spPr>
        <a:xfrm>
          <a:off x="13519850315" y="7166429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6</xdr:col>
      <xdr:colOff>4704</xdr:colOff>
      <xdr:row>41</xdr:row>
      <xdr:rowOff>18142</xdr:rowOff>
    </xdr:from>
    <xdr:to>
      <xdr:col>6</xdr:col>
      <xdr:colOff>181428</xdr:colOff>
      <xdr:row>42</xdr:row>
      <xdr:rowOff>14110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FD8FFB1-AF9C-EA41-964C-8FE9F67CE6CB}"/>
            </a:ext>
          </a:extLst>
        </xdr:cNvPr>
        <xdr:cNvSpPr/>
      </xdr:nvSpPr>
      <xdr:spPr>
        <a:xfrm>
          <a:off x="13558376202" y="8545957"/>
          <a:ext cx="176724" cy="19822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6</xdr:col>
      <xdr:colOff>7257</xdr:colOff>
      <xdr:row>39</xdr:row>
      <xdr:rowOff>39914</xdr:rowOff>
    </xdr:from>
    <xdr:to>
      <xdr:col>6</xdr:col>
      <xdr:colOff>192314</xdr:colOff>
      <xdr:row>40</xdr:row>
      <xdr:rowOff>21771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59E3172-CA59-3547-B921-28CE03A91633}"/>
            </a:ext>
          </a:extLst>
        </xdr:cNvPr>
        <xdr:cNvSpPr/>
      </xdr:nvSpPr>
      <xdr:spPr>
        <a:xfrm>
          <a:off x="13519846686" y="7380514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3628</xdr:colOff>
      <xdr:row>40</xdr:row>
      <xdr:rowOff>25399</xdr:rowOff>
    </xdr:from>
    <xdr:to>
      <xdr:col>6</xdr:col>
      <xdr:colOff>188685</xdr:colOff>
      <xdr:row>41</xdr:row>
      <xdr:rowOff>7256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0C61B42-C132-4E4A-A492-4F141B90075E}"/>
            </a:ext>
          </a:extLst>
        </xdr:cNvPr>
        <xdr:cNvSpPr/>
      </xdr:nvSpPr>
      <xdr:spPr>
        <a:xfrm>
          <a:off x="13519850315" y="7569199"/>
          <a:ext cx="185057" cy="185057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3628</xdr:colOff>
      <xdr:row>65</xdr:row>
      <xdr:rowOff>29029</xdr:rowOff>
    </xdr:from>
    <xdr:to>
      <xdr:col>5</xdr:col>
      <xdr:colOff>188685</xdr:colOff>
      <xdr:row>66</xdr:row>
      <xdr:rowOff>10886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B627D30-D9BB-AF40-8141-BEEBEAFE6740}"/>
            </a:ext>
          </a:extLst>
        </xdr:cNvPr>
        <xdr:cNvSpPr/>
      </xdr:nvSpPr>
      <xdr:spPr>
        <a:xfrm>
          <a:off x="13520739315" y="12652829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823686</xdr:colOff>
      <xdr:row>68</xdr:row>
      <xdr:rowOff>18143</xdr:rowOff>
    </xdr:from>
    <xdr:to>
      <xdr:col>5</xdr:col>
      <xdr:colOff>181428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3DB0454-5550-6045-9442-34E48ABD3C4F}"/>
            </a:ext>
          </a:extLst>
        </xdr:cNvPr>
        <xdr:cNvSpPr/>
      </xdr:nvSpPr>
      <xdr:spPr>
        <a:xfrm>
          <a:off x="13520746572" y="13251543"/>
          <a:ext cx="246742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7257</xdr:colOff>
      <xdr:row>66</xdr:row>
      <xdr:rowOff>39914</xdr:rowOff>
    </xdr:from>
    <xdr:to>
      <xdr:col>5</xdr:col>
      <xdr:colOff>192314</xdr:colOff>
      <xdr:row>67</xdr:row>
      <xdr:rowOff>21771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487978B-A571-BB4A-8D79-D45C4002118F}"/>
            </a:ext>
          </a:extLst>
        </xdr:cNvPr>
        <xdr:cNvSpPr/>
      </xdr:nvSpPr>
      <xdr:spPr>
        <a:xfrm>
          <a:off x="13520735686" y="12866914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5</xdr:col>
      <xdr:colOff>3628</xdr:colOff>
      <xdr:row>67</xdr:row>
      <xdr:rowOff>25399</xdr:rowOff>
    </xdr:from>
    <xdr:to>
      <xdr:col>5</xdr:col>
      <xdr:colOff>188685</xdr:colOff>
      <xdr:row>68</xdr:row>
      <xdr:rowOff>7256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898D3637-C5FC-8244-A347-E03290B8CE3A}"/>
            </a:ext>
          </a:extLst>
        </xdr:cNvPr>
        <xdr:cNvSpPr/>
      </xdr:nvSpPr>
      <xdr:spPr>
        <a:xfrm>
          <a:off x="13520739315" y="13055599"/>
          <a:ext cx="185057" cy="185057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6</xdr:col>
      <xdr:colOff>620427</xdr:colOff>
      <xdr:row>68</xdr:row>
      <xdr:rowOff>124918</xdr:rowOff>
    </xdr:from>
    <xdr:to>
      <xdr:col>6</xdr:col>
      <xdr:colOff>786984</xdr:colOff>
      <xdr:row>68</xdr:row>
      <xdr:rowOff>129082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921D913-E3D9-0545-AC51-481FB903C982}"/>
            </a:ext>
          </a:extLst>
        </xdr:cNvPr>
        <xdr:cNvCxnSpPr/>
      </xdr:nvCxnSpPr>
      <xdr:spPr>
        <a:xfrm flipH="1">
          <a:off x="13519252016" y="13358318"/>
          <a:ext cx="166557" cy="4164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770329</xdr:colOff>
      <xdr:row>65</xdr:row>
      <xdr:rowOff>108263</xdr:rowOff>
    </xdr:from>
    <xdr:to>
      <xdr:col>7</xdr:col>
      <xdr:colOff>112427</xdr:colOff>
      <xdr:row>65</xdr:row>
      <xdr:rowOff>112427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EA19BDB-8DEA-5C4D-A40C-D0A9CA2129D8}"/>
            </a:ext>
          </a:extLst>
        </xdr:cNvPr>
        <xdr:cNvCxnSpPr/>
      </xdr:nvCxnSpPr>
      <xdr:spPr>
        <a:xfrm flipH="1">
          <a:off x="13519101073" y="12732063"/>
          <a:ext cx="167598" cy="4164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778656</xdr:colOff>
      <xdr:row>65</xdr:row>
      <xdr:rowOff>112427</xdr:rowOff>
    </xdr:from>
    <xdr:to>
      <xdr:col>6</xdr:col>
      <xdr:colOff>782820</xdr:colOff>
      <xdr:row>68</xdr:row>
      <xdr:rowOff>120754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7F76CE5F-43D8-4D46-91DD-276DE6913BAC}"/>
            </a:ext>
          </a:extLst>
        </xdr:cNvPr>
        <xdr:cNvCxnSpPr/>
      </xdr:nvCxnSpPr>
      <xdr:spPr>
        <a:xfrm>
          <a:off x="13519256180" y="12736227"/>
          <a:ext cx="4164" cy="61792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12492</xdr:colOff>
      <xdr:row>75</xdr:row>
      <xdr:rowOff>95771</xdr:rowOff>
    </xdr:from>
    <xdr:to>
      <xdr:col>7</xdr:col>
      <xdr:colOff>528820</xdr:colOff>
      <xdr:row>75</xdr:row>
      <xdr:rowOff>124918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E810B9D-1CCD-9546-ABE2-6F71954D6BA2}"/>
            </a:ext>
          </a:extLst>
        </xdr:cNvPr>
        <xdr:cNvCxnSpPr/>
      </xdr:nvCxnSpPr>
      <xdr:spPr>
        <a:xfrm flipV="1">
          <a:off x="13518684680" y="14751571"/>
          <a:ext cx="6447228" cy="2914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408066</xdr:colOff>
      <xdr:row>73</xdr:row>
      <xdr:rowOff>16557</xdr:rowOff>
    </xdr:from>
    <xdr:to>
      <xdr:col>6</xdr:col>
      <xdr:colOff>333115</xdr:colOff>
      <xdr:row>74</xdr:row>
      <xdr:rowOff>8327</xdr:rowOff>
    </xdr:to>
    <xdr:sp macro="" textlink="">
      <xdr:nvSpPr>
        <xdr:cNvPr id="14" name="Freeform 13">
          <a:extLst>
            <a:ext uri="{FF2B5EF4-FFF2-40B4-BE49-F238E27FC236}">
              <a16:creationId xmlns:a16="http://schemas.microsoft.com/office/drawing/2014/main" id="{0C4831FF-9317-6547-8F6C-813F42AF7F44}"/>
            </a:ext>
          </a:extLst>
        </xdr:cNvPr>
        <xdr:cNvSpPr/>
      </xdr:nvSpPr>
      <xdr:spPr>
        <a:xfrm>
          <a:off x="13519705885" y="14265957"/>
          <a:ext cx="1703049" cy="194970"/>
        </a:xfrm>
        <a:custGeom>
          <a:avLst/>
          <a:gdLst>
            <a:gd name="connsiteX0" fmla="*/ 0 w 1573967"/>
            <a:gd name="connsiteY0" fmla="*/ 174984 h 195803"/>
            <a:gd name="connsiteX1" fmla="*/ 745344 w 1573967"/>
            <a:gd name="connsiteY1" fmla="*/ 98 h 195803"/>
            <a:gd name="connsiteX2" fmla="*/ 1573967 w 1573967"/>
            <a:gd name="connsiteY2" fmla="*/ 195803 h 195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3967" h="195803">
              <a:moveTo>
                <a:pt x="0" y="174984"/>
              </a:moveTo>
              <a:cubicBezTo>
                <a:pt x="241508" y="85806"/>
                <a:pt x="483016" y="-3372"/>
                <a:pt x="745344" y="98"/>
              </a:cubicBezTo>
              <a:cubicBezTo>
                <a:pt x="1007672" y="3568"/>
                <a:pt x="1290819" y="99685"/>
                <a:pt x="1573967" y="19580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445541</xdr:colOff>
      <xdr:row>73</xdr:row>
      <xdr:rowOff>24885</xdr:rowOff>
    </xdr:from>
    <xdr:to>
      <xdr:col>4</xdr:col>
      <xdr:colOff>370590</xdr:colOff>
      <xdr:row>74</xdr:row>
      <xdr:rowOff>16655</xdr:rowOff>
    </xdr:to>
    <xdr:sp macro="" textlink="">
      <xdr:nvSpPr>
        <xdr:cNvPr id="15" name="Freeform 14">
          <a:extLst>
            <a:ext uri="{FF2B5EF4-FFF2-40B4-BE49-F238E27FC236}">
              <a16:creationId xmlns:a16="http://schemas.microsoft.com/office/drawing/2014/main" id="{A52E8DE4-540B-F34E-8D38-F2D114A1112B}"/>
            </a:ext>
          </a:extLst>
        </xdr:cNvPr>
        <xdr:cNvSpPr/>
      </xdr:nvSpPr>
      <xdr:spPr>
        <a:xfrm>
          <a:off x="13521446410" y="14274285"/>
          <a:ext cx="1601449" cy="194970"/>
        </a:xfrm>
        <a:custGeom>
          <a:avLst/>
          <a:gdLst>
            <a:gd name="connsiteX0" fmla="*/ 0 w 1573967"/>
            <a:gd name="connsiteY0" fmla="*/ 174984 h 195803"/>
            <a:gd name="connsiteX1" fmla="*/ 745344 w 1573967"/>
            <a:gd name="connsiteY1" fmla="*/ 98 h 195803"/>
            <a:gd name="connsiteX2" fmla="*/ 1573967 w 1573967"/>
            <a:gd name="connsiteY2" fmla="*/ 195803 h 195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3967" h="195803">
              <a:moveTo>
                <a:pt x="0" y="174984"/>
              </a:moveTo>
              <a:cubicBezTo>
                <a:pt x="241508" y="85806"/>
                <a:pt x="483016" y="-3372"/>
                <a:pt x="745344" y="98"/>
              </a:cubicBezTo>
              <a:cubicBezTo>
                <a:pt x="1007672" y="3568"/>
                <a:pt x="1290819" y="99685"/>
                <a:pt x="1573967" y="19580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362262</xdr:colOff>
      <xdr:row>72</xdr:row>
      <xdr:rowOff>178951</xdr:rowOff>
    </xdr:from>
    <xdr:to>
      <xdr:col>2</xdr:col>
      <xdr:colOff>287311</xdr:colOff>
      <xdr:row>73</xdr:row>
      <xdr:rowOff>170721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50745208-283C-554D-96F0-A65924F1CEBC}"/>
            </a:ext>
          </a:extLst>
        </xdr:cNvPr>
        <xdr:cNvSpPr/>
      </xdr:nvSpPr>
      <xdr:spPr>
        <a:xfrm>
          <a:off x="13523206089" y="14225151"/>
          <a:ext cx="1576049" cy="194970"/>
        </a:xfrm>
        <a:custGeom>
          <a:avLst/>
          <a:gdLst>
            <a:gd name="connsiteX0" fmla="*/ 0 w 1573967"/>
            <a:gd name="connsiteY0" fmla="*/ 174984 h 195803"/>
            <a:gd name="connsiteX1" fmla="*/ 745344 w 1573967"/>
            <a:gd name="connsiteY1" fmla="*/ 98 h 195803"/>
            <a:gd name="connsiteX2" fmla="*/ 1573967 w 1573967"/>
            <a:gd name="connsiteY2" fmla="*/ 195803 h 195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3967" h="195803">
              <a:moveTo>
                <a:pt x="0" y="174984"/>
              </a:moveTo>
              <a:cubicBezTo>
                <a:pt x="241508" y="85806"/>
                <a:pt x="483016" y="-3372"/>
                <a:pt x="745344" y="98"/>
              </a:cubicBezTo>
              <a:cubicBezTo>
                <a:pt x="1007672" y="3568"/>
                <a:pt x="1290819" y="99685"/>
                <a:pt x="1573967" y="19580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3628</xdr:colOff>
      <xdr:row>94</xdr:row>
      <xdr:rowOff>29029</xdr:rowOff>
    </xdr:from>
    <xdr:to>
      <xdr:col>5</xdr:col>
      <xdr:colOff>188685</xdr:colOff>
      <xdr:row>95</xdr:row>
      <xdr:rowOff>10886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23134F83-2172-4D47-81BE-405FB15AC326}"/>
            </a:ext>
          </a:extLst>
        </xdr:cNvPr>
        <xdr:cNvSpPr/>
      </xdr:nvSpPr>
      <xdr:spPr>
        <a:xfrm>
          <a:off x="13520739315" y="18558329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820296</xdr:colOff>
      <xdr:row>95</xdr:row>
      <xdr:rowOff>39915</xdr:rowOff>
    </xdr:from>
    <xdr:to>
      <xdr:col>5</xdr:col>
      <xdr:colOff>192314</xdr:colOff>
      <xdr:row>96</xdr:row>
      <xdr:rowOff>20820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E577DAEE-6B3D-9A42-B434-E192482EECEB}"/>
            </a:ext>
          </a:extLst>
        </xdr:cNvPr>
        <xdr:cNvSpPr/>
      </xdr:nvSpPr>
      <xdr:spPr>
        <a:xfrm>
          <a:off x="13520735686" y="18772415"/>
          <a:ext cx="261018" cy="18410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5</xdr:col>
      <xdr:colOff>24210</xdr:colOff>
      <xdr:row>96</xdr:row>
      <xdr:rowOff>201355</xdr:rowOff>
    </xdr:from>
    <xdr:to>
      <xdr:col>5</xdr:col>
      <xdr:colOff>206411</xdr:colOff>
      <xdr:row>97</xdr:row>
      <xdr:rowOff>183213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81A6007D-5663-FA4E-9016-372D07B02365}"/>
            </a:ext>
          </a:extLst>
        </xdr:cNvPr>
        <xdr:cNvSpPr/>
      </xdr:nvSpPr>
      <xdr:spPr>
        <a:xfrm>
          <a:off x="13520721589" y="19137055"/>
          <a:ext cx="182201" cy="185058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11956</xdr:colOff>
      <xdr:row>96</xdr:row>
      <xdr:rowOff>21235</xdr:rowOff>
    </xdr:from>
    <xdr:to>
      <xdr:col>5</xdr:col>
      <xdr:colOff>197013</xdr:colOff>
      <xdr:row>97</xdr:row>
      <xdr:rowOff>3093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342FF880-1906-2740-A547-A56F33BAA642}"/>
            </a:ext>
          </a:extLst>
        </xdr:cNvPr>
        <xdr:cNvSpPr/>
      </xdr:nvSpPr>
      <xdr:spPr>
        <a:xfrm>
          <a:off x="13520730987" y="18956935"/>
          <a:ext cx="185057" cy="185058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</xdr:colOff>
      <xdr:row>98</xdr:row>
      <xdr:rowOff>27423</xdr:rowOff>
    </xdr:from>
    <xdr:to>
      <xdr:col>5</xdr:col>
      <xdr:colOff>196478</xdr:colOff>
      <xdr:row>99</xdr:row>
      <xdr:rowOff>8327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7B964C90-FC6A-144D-A769-E6392DE12742}"/>
            </a:ext>
          </a:extLst>
        </xdr:cNvPr>
        <xdr:cNvSpPr/>
      </xdr:nvSpPr>
      <xdr:spPr>
        <a:xfrm>
          <a:off x="13520731522" y="19382223"/>
          <a:ext cx="196477" cy="18410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5</xdr:col>
      <xdr:colOff>3390</xdr:colOff>
      <xdr:row>100</xdr:row>
      <xdr:rowOff>5650</xdr:rowOff>
    </xdr:from>
    <xdr:to>
      <xdr:col>5</xdr:col>
      <xdr:colOff>185591</xdr:colOff>
      <xdr:row>100</xdr:row>
      <xdr:rowOff>191540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4F74DDEC-4CE5-7B4B-97DA-5C3D7C6F3B8D}"/>
            </a:ext>
          </a:extLst>
        </xdr:cNvPr>
        <xdr:cNvSpPr/>
      </xdr:nvSpPr>
      <xdr:spPr>
        <a:xfrm>
          <a:off x="13520742409" y="19766850"/>
          <a:ext cx="182201" cy="1858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7792</xdr:colOff>
      <xdr:row>99</xdr:row>
      <xdr:rowOff>4579</xdr:rowOff>
    </xdr:from>
    <xdr:to>
      <xdr:col>5</xdr:col>
      <xdr:colOff>192849</xdr:colOff>
      <xdr:row>99</xdr:row>
      <xdr:rowOff>190470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35D5C9BB-610A-8541-AE3C-3EB7BCF7CAA4}"/>
            </a:ext>
          </a:extLst>
        </xdr:cNvPr>
        <xdr:cNvSpPr/>
      </xdr:nvSpPr>
      <xdr:spPr>
        <a:xfrm>
          <a:off x="13520735151" y="19562579"/>
          <a:ext cx="185057" cy="185891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3628</xdr:colOff>
      <xdr:row>128</xdr:row>
      <xdr:rowOff>29029</xdr:rowOff>
    </xdr:from>
    <xdr:to>
      <xdr:col>5</xdr:col>
      <xdr:colOff>188685</xdr:colOff>
      <xdr:row>129</xdr:row>
      <xdr:rowOff>10886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E926107F-CDF9-EF40-BC64-151FFE8937C4}"/>
            </a:ext>
          </a:extLst>
        </xdr:cNvPr>
        <xdr:cNvSpPr/>
      </xdr:nvSpPr>
      <xdr:spPr>
        <a:xfrm>
          <a:off x="13520739315" y="24908329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823686</xdr:colOff>
      <xdr:row>131</xdr:row>
      <xdr:rowOff>18143</xdr:rowOff>
    </xdr:from>
    <xdr:to>
      <xdr:col>5</xdr:col>
      <xdr:colOff>181428</xdr:colOff>
      <xdr:row>132</xdr:row>
      <xdr:rowOff>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03FE4577-B77A-F54A-B27E-D192B954450E}"/>
            </a:ext>
          </a:extLst>
        </xdr:cNvPr>
        <xdr:cNvSpPr/>
      </xdr:nvSpPr>
      <xdr:spPr>
        <a:xfrm>
          <a:off x="13520746572" y="25507043"/>
          <a:ext cx="246742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7257</xdr:colOff>
      <xdr:row>129</xdr:row>
      <xdr:rowOff>39914</xdr:rowOff>
    </xdr:from>
    <xdr:to>
      <xdr:col>5</xdr:col>
      <xdr:colOff>192314</xdr:colOff>
      <xdr:row>130</xdr:row>
      <xdr:rowOff>21771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6606B8FF-0EEC-B54E-AA9C-9E9777966BED}"/>
            </a:ext>
          </a:extLst>
        </xdr:cNvPr>
        <xdr:cNvSpPr/>
      </xdr:nvSpPr>
      <xdr:spPr>
        <a:xfrm>
          <a:off x="13520735686" y="25122414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5</xdr:col>
      <xdr:colOff>3628</xdr:colOff>
      <xdr:row>130</xdr:row>
      <xdr:rowOff>25399</xdr:rowOff>
    </xdr:from>
    <xdr:to>
      <xdr:col>5</xdr:col>
      <xdr:colOff>188685</xdr:colOff>
      <xdr:row>131</xdr:row>
      <xdr:rowOff>7256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910615B0-9DC1-8740-87C8-928B9B163D65}"/>
            </a:ext>
          </a:extLst>
        </xdr:cNvPr>
        <xdr:cNvSpPr/>
      </xdr:nvSpPr>
      <xdr:spPr>
        <a:xfrm>
          <a:off x="13520739315" y="25311099"/>
          <a:ext cx="185057" cy="185057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6</xdr:col>
      <xdr:colOff>620427</xdr:colOff>
      <xdr:row>131</xdr:row>
      <xdr:rowOff>124918</xdr:rowOff>
    </xdr:from>
    <xdr:to>
      <xdr:col>6</xdr:col>
      <xdr:colOff>786984</xdr:colOff>
      <xdr:row>131</xdr:row>
      <xdr:rowOff>129082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0D2B2693-DA39-C342-8F17-F8E0BC20FAE4}"/>
            </a:ext>
          </a:extLst>
        </xdr:cNvPr>
        <xdr:cNvCxnSpPr/>
      </xdr:nvCxnSpPr>
      <xdr:spPr>
        <a:xfrm flipH="1">
          <a:off x="13519252016" y="25613818"/>
          <a:ext cx="166557" cy="4164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770329</xdr:colOff>
      <xdr:row>128</xdr:row>
      <xdr:rowOff>108263</xdr:rowOff>
    </xdr:from>
    <xdr:to>
      <xdr:col>7</xdr:col>
      <xdr:colOff>112427</xdr:colOff>
      <xdr:row>128</xdr:row>
      <xdr:rowOff>112427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EAB741CC-9948-8F4F-8796-368E00CC2DE1}"/>
            </a:ext>
          </a:extLst>
        </xdr:cNvPr>
        <xdr:cNvCxnSpPr/>
      </xdr:nvCxnSpPr>
      <xdr:spPr>
        <a:xfrm flipH="1">
          <a:off x="13519101073" y="24987563"/>
          <a:ext cx="167598" cy="4164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778656</xdr:colOff>
      <xdr:row>128</xdr:row>
      <xdr:rowOff>112427</xdr:rowOff>
    </xdr:from>
    <xdr:to>
      <xdr:col>6</xdr:col>
      <xdr:colOff>782820</xdr:colOff>
      <xdr:row>131</xdr:row>
      <xdr:rowOff>120754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D1727D20-C491-2F40-8739-4BC26D09AA97}"/>
            </a:ext>
          </a:extLst>
        </xdr:cNvPr>
        <xdr:cNvCxnSpPr/>
      </xdr:nvCxnSpPr>
      <xdr:spPr>
        <a:xfrm>
          <a:off x="13519256180" y="24991727"/>
          <a:ext cx="4164" cy="61792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677334</xdr:colOff>
      <xdr:row>25</xdr:row>
      <xdr:rowOff>42333</xdr:rowOff>
    </xdr:from>
    <xdr:to>
      <xdr:col>1</xdr:col>
      <xdr:colOff>771408</xdr:colOff>
      <xdr:row>26</xdr:row>
      <xdr:rowOff>32926</xdr:rowOff>
    </xdr:to>
    <xdr:sp macro="" textlink="">
      <xdr:nvSpPr>
        <xdr:cNvPr id="31" name="Down Arrow 30">
          <a:extLst>
            <a:ext uri="{FF2B5EF4-FFF2-40B4-BE49-F238E27FC236}">
              <a16:creationId xmlns:a16="http://schemas.microsoft.com/office/drawing/2014/main" id="{E069BECE-FF1C-12AE-3FED-07D64F11DE44}"/>
            </a:ext>
          </a:extLst>
        </xdr:cNvPr>
        <xdr:cNvSpPr/>
      </xdr:nvSpPr>
      <xdr:spPr>
        <a:xfrm>
          <a:off x="13562071296" y="5334000"/>
          <a:ext cx="94074" cy="19285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390409</xdr:colOff>
      <xdr:row>25</xdr:row>
      <xdr:rowOff>18814</xdr:rowOff>
    </xdr:from>
    <xdr:to>
      <xdr:col>4</xdr:col>
      <xdr:colOff>484483</xdr:colOff>
      <xdr:row>26</xdr:row>
      <xdr:rowOff>9407</xdr:rowOff>
    </xdr:to>
    <xdr:sp macro="" textlink="">
      <xdr:nvSpPr>
        <xdr:cNvPr id="32" name="Down Arrow 31">
          <a:extLst>
            <a:ext uri="{FF2B5EF4-FFF2-40B4-BE49-F238E27FC236}">
              <a16:creationId xmlns:a16="http://schemas.microsoft.com/office/drawing/2014/main" id="{1B4455DE-8270-78FD-F35D-4AFE22A42BB9}"/>
            </a:ext>
          </a:extLst>
        </xdr:cNvPr>
        <xdr:cNvSpPr/>
      </xdr:nvSpPr>
      <xdr:spPr>
        <a:xfrm>
          <a:off x="13559851147" y="5310481"/>
          <a:ext cx="94074" cy="19285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7</xdr:col>
      <xdr:colOff>809624</xdr:colOff>
      <xdr:row>103</xdr:row>
      <xdr:rowOff>53790</xdr:rowOff>
    </xdr:from>
    <xdr:to>
      <xdr:col>9</xdr:col>
      <xdr:colOff>700617</xdr:colOff>
      <xdr:row>110</xdr:row>
      <xdr:rowOff>87158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A3336F8-9D2B-4578-6575-66166768B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7496883" y="21156957"/>
          <a:ext cx="1541993" cy="144095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175396</xdr:colOff>
      <xdr:row>36</xdr:row>
      <xdr:rowOff>45476</xdr:rowOff>
    </xdr:from>
    <xdr:to>
      <xdr:col>5</xdr:col>
      <xdr:colOff>636625</xdr:colOff>
      <xdr:row>37</xdr:row>
      <xdr:rowOff>74707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1E142C02-0F6B-E24B-BBCE-1A53F9C79428}"/>
            </a:ext>
          </a:extLst>
        </xdr:cNvPr>
        <xdr:cNvSpPr/>
      </xdr:nvSpPr>
      <xdr:spPr>
        <a:xfrm rot="5400000">
          <a:off x="13521580524" y="6008027"/>
          <a:ext cx="232431" cy="293772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190605</xdr:colOff>
      <xdr:row>36</xdr:row>
      <xdr:rowOff>11254</xdr:rowOff>
    </xdr:from>
    <xdr:to>
      <xdr:col>9</xdr:col>
      <xdr:colOff>651834</xdr:colOff>
      <xdr:row>37</xdr:row>
      <xdr:rowOff>40485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E615746D-9943-CF4F-A7EB-AC3FFEC1EDD1}"/>
            </a:ext>
          </a:extLst>
        </xdr:cNvPr>
        <xdr:cNvSpPr/>
      </xdr:nvSpPr>
      <xdr:spPr>
        <a:xfrm rot="5400000">
          <a:off x="13518263315" y="5973805"/>
          <a:ext cx="232431" cy="293772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205815</xdr:colOff>
      <xdr:row>42</xdr:row>
      <xdr:rowOff>151942</xdr:rowOff>
    </xdr:from>
    <xdr:to>
      <xdr:col>5</xdr:col>
      <xdr:colOff>667044</xdr:colOff>
      <xdr:row>43</xdr:row>
      <xdr:rowOff>181173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4E805C63-80FA-A749-8861-F138C488E812}"/>
            </a:ext>
          </a:extLst>
        </xdr:cNvPr>
        <xdr:cNvSpPr/>
      </xdr:nvSpPr>
      <xdr:spPr>
        <a:xfrm rot="16200000">
          <a:off x="13521550105" y="7333693"/>
          <a:ext cx="232431" cy="293772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38508</xdr:colOff>
      <xdr:row>42</xdr:row>
      <xdr:rowOff>159547</xdr:rowOff>
    </xdr:from>
    <xdr:to>
      <xdr:col>9</xdr:col>
      <xdr:colOff>737664</xdr:colOff>
      <xdr:row>43</xdr:row>
      <xdr:rowOff>171108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990CBE47-83C6-8A46-A3F3-4A3A924938A2}"/>
            </a:ext>
          </a:extLst>
        </xdr:cNvPr>
        <xdr:cNvSpPr/>
      </xdr:nvSpPr>
      <xdr:spPr>
        <a:xfrm rot="16200000">
          <a:off x="13518305283" y="7213500"/>
          <a:ext cx="214761" cy="317565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5</xdr:col>
      <xdr:colOff>762481</xdr:colOff>
      <xdr:row>137</xdr:row>
      <xdr:rowOff>6869</xdr:rowOff>
    </xdr:from>
    <xdr:to>
      <xdr:col>7</xdr:col>
      <xdr:colOff>463827</xdr:colOff>
      <xdr:row>142</xdr:row>
      <xdr:rowOff>200297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6E45BDD-812D-184E-9457-1A6B1C748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3964434" y="28040739"/>
          <a:ext cx="1357868" cy="1214949"/>
        </a:xfrm>
        <a:prstGeom prst="rect">
          <a:avLst/>
        </a:prstGeom>
      </xdr:spPr>
    </xdr:pic>
    <xdr:clientData/>
  </xdr:twoCellAnchor>
  <xdr:twoCellAnchor>
    <xdr:from>
      <xdr:col>3</xdr:col>
      <xdr:colOff>666667</xdr:colOff>
      <xdr:row>137</xdr:row>
      <xdr:rowOff>10000</xdr:rowOff>
    </xdr:from>
    <xdr:to>
      <xdr:col>5</xdr:col>
      <xdr:colOff>673334</xdr:colOff>
      <xdr:row>141</xdr:row>
      <xdr:rowOff>93333</xdr:rowOff>
    </xdr:to>
    <xdr:sp macro="" textlink="">
      <xdr:nvSpPr>
        <xdr:cNvPr id="7" name="Rounded Rectangular Callout 6">
          <a:extLst>
            <a:ext uri="{FF2B5EF4-FFF2-40B4-BE49-F238E27FC236}">
              <a16:creationId xmlns:a16="http://schemas.microsoft.com/office/drawing/2014/main" id="{4FB8B903-F9E3-8541-AF6D-2A4FD34F8340}"/>
            </a:ext>
          </a:extLst>
        </xdr:cNvPr>
        <xdr:cNvSpPr/>
      </xdr:nvSpPr>
      <xdr:spPr>
        <a:xfrm>
          <a:off x="13520191166" y="27696000"/>
          <a:ext cx="1657667" cy="896133"/>
        </a:xfrm>
        <a:prstGeom prst="wedgeRoundRectCallout">
          <a:avLst>
            <a:gd name="adj1" fmla="val -75050"/>
            <a:gd name="adj2" fmla="val 2941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אל תשאל מה קרה למשה, הוא אכל נקניק ומסתבר שהיה בתוכו שעון</a:t>
          </a:r>
          <a:endParaRPr lang="en-US" sz="1100"/>
        </a:p>
      </xdr:txBody>
    </xdr:sp>
    <xdr:clientData/>
  </xdr:twoCellAnchor>
  <xdr:twoCellAnchor editAs="oneCell">
    <xdr:from>
      <xdr:col>7</xdr:col>
      <xdr:colOff>71902</xdr:colOff>
      <xdr:row>84</xdr:row>
      <xdr:rowOff>10160</xdr:rowOff>
    </xdr:from>
    <xdr:to>
      <xdr:col>9</xdr:col>
      <xdr:colOff>502920</xdr:colOff>
      <xdr:row>93</xdr:row>
      <xdr:rowOff>119380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A3EC4A-1722-D511-2A11-3A95E7CFC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58652080" y="17109440"/>
          <a:ext cx="2087098" cy="1938020"/>
        </a:xfrm>
        <a:prstGeom prst="rect">
          <a:avLst/>
        </a:prstGeom>
      </xdr:spPr>
    </xdr:pic>
    <xdr:clientData/>
  </xdr:twoCellAnchor>
  <xdr:twoCellAnchor>
    <xdr:from>
      <xdr:col>2</xdr:col>
      <xdr:colOff>673653</xdr:colOff>
      <xdr:row>104</xdr:row>
      <xdr:rowOff>149087</xdr:rowOff>
    </xdr:from>
    <xdr:to>
      <xdr:col>3</xdr:col>
      <xdr:colOff>193262</xdr:colOff>
      <xdr:row>104</xdr:row>
      <xdr:rowOff>149087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DBA87ABD-6A7F-6C3D-17AA-7E45BA9D7ADC}"/>
            </a:ext>
          </a:extLst>
        </xdr:cNvPr>
        <xdr:cNvCxnSpPr/>
      </xdr:nvCxnSpPr>
      <xdr:spPr>
        <a:xfrm flipH="1">
          <a:off x="13567548043" y="21418826"/>
          <a:ext cx="34787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193262</xdr:colOff>
      <xdr:row>104</xdr:row>
      <xdr:rowOff>176696</xdr:rowOff>
    </xdr:from>
    <xdr:to>
      <xdr:col>3</xdr:col>
      <xdr:colOff>198783</xdr:colOff>
      <xdr:row>107</xdr:row>
      <xdr:rowOff>132522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10094EE2-8FEE-AEC5-E2A0-A2A3E908E306}"/>
            </a:ext>
          </a:extLst>
        </xdr:cNvPr>
        <xdr:cNvCxnSpPr/>
      </xdr:nvCxnSpPr>
      <xdr:spPr>
        <a:xfrm>
          <a:off x="13567542522" y="21446435"/>
          <a:ext cx="5521" cy="5687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640523</xdr:colOff>
      <xdr:row>104</xdr:row>
      <xdr:rowOff>115957</xdr:rowOff>
    </xdr:from>
    <xdr:to>
      <xdr:col>5</xdr:col>
      <xdr:colOff>160132</xdr:colOff>
      <xdr:row>104</xdr:row>
      <xdr:rowOff>115957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83A5B3A5-E9A6-9743-E716-D454E4D4141C}"/>
            </a:ext>
          </a:extLst>
        </xdr:cNvPr>
        <xdr:cNvCxnSpPr/>
      </xdr:nvCxnSpPr>
      <xdr:spPr>
        <a:xfrm flipH="1">
          <a:off x="13565924651" y="21385696"/>
          <a:ext cx="34787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149088</xdr:colOff>
      <xdr:row>104</xdr:row>
      <xdr:rowOff>115956</xdr:rowOff>
    </xdr:from>
    <xdr:to>
      <xdr:col>5</xdr:col>
      <xdr:colOff>154609</xdr:colOff>
      <xdr:row>107</xdr:row>
      <xdr:rowOff>71782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E4BA5862-E38E-2B48-BCBA-201CFE624020}"/>
            </a:ext>
          </a:extLst>
        </xdr:cNvPr>
        <xdr:cNvCxnSpPr/>
      </xdr:nvCxnSpPr>
      <xdr:spPr>
        <a:xfrm>
          <a:off x="13565930174" y="21385695"/>
          <a:ext cx="5521" cy="5687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2775</xdr:colOff>
      <xdr:row>145</xdr:row>
      <xdr:rowOff>193261</xdr:rowOff>
    </xdr:from>
    <xdr:to>
      <xdr:col>7</xdr:col>
      <xdr:colOff>504135</xdr:colOff>
      <xdr:row>155</xdr:row>
      <xdr:rowOff>61843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EF50507-8775-E171-87A5-648814F3D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63924126" y="29861565"/>
          <a:ext cx="1329621" cy="1911626"/>
        </a:xfrm>
        <a:prstGeom prst="rect">
          <a:avLst/>
        </a:prstGeom>
      </xdr:spPr>
    </xdr:pic>
    <xdr:clientData/>
  </xdr:twoCellAnchor>
  <xdr:twoCellAnchor editAs="oneCell">
    <xdr:from>
      <xdr:col>7</xdr:col>
      <xdr:colOff>777601</xdr:colOff>
      <xdr:row>137</xdr:row>
      <xdr:rowOff>93869</xdr:rowOff>
    </xdr:from>
    <xdr:to>
      <xdr:col>10</xdr:col>
      <xdr:colOff>754824</xdr:colOff>
      <xdr:row>153</xdr:row>
      <xdr:rowOff>87795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A50FADC-E38E-2783-AED5-E0C692929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61188655" y="28127739"/>
          <a:ext cx="2462005" cy="3262795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Shay Tsaban" id="{2F25A2BC-A968-EC4F-A7FA-D47CCD9F0152}" userId="S::shay.tsaban@pac.org.il::d36e78f1-dfc2-409f-be3b-fc391b89361e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L98" dT="2025-05-15T12:09:21.87" personId="{2F25A2BC-A968-EC4F-A7FA-D47CCD9F0152}" id="{066BA13C-B1EF-3644-926A-8746094D2EB0}">
    <text>בשנת 2009, לא הוגדר ערך שייר / גרט. לעומת זאת, ב-2010 הוגדר גרט בסך 150. לכן, יש להוסיף לתזרימי המזומנים התפעוליים מהנכס גם את שווי השייר שצפוי להתקבל כתזרים נוסף יחד עם ההכנסות נטו בשנה האחרונה.</text>
  </threadedComment>
</ThreadedComments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mailto:shay.tsaban@gmail.com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.xml"/><Relationship Id="rId4" Type="http://schemas.microsoft.com/office/2017/10/relationships/threadedComment" Target="../threadedComments/threadedComment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114463-8E2D-DE40-A14A-E95275BA117E}">
  <dimension ref="A1:H200"/>
  <sheetViews>
    <sheetView rightToLeft="1" topLeftCell="A189" zoomScale="339" zoomScaleNormal="380" workbookViewId="0">
      <selection activeCell="E191" sqref="E191"/>
    </sheetView>
  </sheetViews>
  <sheetFormatPr baseColWidth="10" defaultRowHeight="16" x14ac:dyDescent="0.2"/>
  <cols>
    <col min="1" max="4" width="10.83203125" style="1"/>
    <col min="5" max="5" width="11.1640625" style="1" bestFit="1" customWidth="1"/>
    <col min="6" max="6" width="11.6640625" style="1" bestFit="1" customWidth="1"/>
    <col min="7" max="7" width="10.83203125" style="1"/>
    <col min="8" max="8" width="12.33203125" style="1" customWidth="1"/>
    <col min="9" max="16384" width="10.83203125" style="1"/>
  </cols>
  <sheetData>
    <row r="1" spans="1:8" x14ac:dyDescent="0.2">
      <c r="A1" s="3" t="s">
        <v>0</v>
      </c>
      <c r="B1" s="3"/>
      <c r="C1" s="3"/>
      <c r="D1" s="3"/>
      <c r="E1" s="3"/>
      <c r="F1" s="3"/>
      <c r="G1" s="3"/>
      <c r="H1" s="3"/>
    </row>
    <row r="2" spans="1:8" ht="17" thickBot="1" x14ac:dyDescent="0.25"/>
    <row r="3" spans="1:8" x14ac:dyDescent="0.2">
      <c r="A3" s="4" t="s">
        <v>1</v>
      </c>
      <c r="B3" s="5" t="s">
        <v>2</v>
      </c>
      <c r="C3" s="5"/>
      <c r="D3" s="5"/>
      <c r="E3" s="5"/>
      <c r="F3" s="5"/>
      <c r="G3" s="5"/>
      <c r="H3" s="6"/>
    </row>
    <row r="4" spans="1:8" x14ac:dyDescent="0.2">
      <c r="A4" s="7" t="s">
        <v>5</v>
      </c>
      <c r="C4" s="8" t="s">
        <v>3</v>
      </c>
      <c r="H4" s="9"/>
    </row>
    <row r="5" spans="1:8" x14ac:dyDescent="0.2">
      <c r="A5" s="7" t="s">
        <v>6</v>
      </c>
      <c r="C5" s="1" t="s">
        <v>4</v>
      </c>
      <c r="H5" s="9"/>
    </row>
    <row r="6" spans="1:8" x14ac:dyDescent="0.2">
      <c r="A6" s="7" t="s">
        <v>7</v>
      </c>
      <c r="C6" s="1" t="s">
        <v>8</v>
      </c>
      <c r="H6" s="9"/>
    </row>
    <row r="7" spans="1:8" ht="17" thickBot="1" x14ac:dyDescent="0.25">
      <c r="A7" s="10" t="s">
        <v>9</v>
      </c>
      <c r="B7" s="11"/>
      <c r="C7" s="11" t="s">
        <v>10</v>
      </c>
      <c r="D7" s="11"/>
      <c r="E7" s="11"/>
      <c r="F7" s="11"/>
      <c r="G7" s="11"/>
      <c r="H7" s="12"/>
    </row>
    <row r="8" spans="1:8" ht="17" thickBot="1" x14ac:dyDescent="0.25"/>
    <row r="9" spans="1:8" x14ac:dyDescent="0.2">
      <c r="A9" s="13" t="s">
        <v>11</v>
      </c>
      <c r="B9" s="5"/>
      <c r="C9" s="5"/>
      <c r="D9" s="5"/>
      <c r="E9" s="5"/>
      <c r="F9" s="5"/>
      <c r="G9" s="5"/>
      <c r="H9" s="6"/>
    </row>
    <row r="10" spans="1:8" x14ac:dyDescent="0.2">
      <c r="A10" s="7" t="s">
        <v>12</v>
      </c>
      <c r="H10" s="9"/>
    </row>
    <row r="11" spans="1:8" x14ac:dyDescent="0.2">
      <c r="A11" s="7" t="s">
        <v>13</v>
      </c>
      <c r="H11" s="9"/>
    </row>
    <row r="12" spans="1:8" x14ac:dyDescent="0.2">
      <c r="A12" s="7" t="s">
        <v>14</v>
      </c>
      <c r="H12" s="9"/>
    </row>
    <row r="13" spans="1:8" x14ac:dyDescent="0.2">
      <c r="A13" s="7" t="s">
        <v>15</v>
      </c>
      <c r="H13" s="9"/>
    </row>
    <row r="14" spans="1:8" x14ac:dyDescent="0.2">
      <c r="A14" s="7"/>
      <c r="H14" s="9" t="s">
        <v>16</v>
      </c>
    </row>
    <row r="15" spans="1:8" x14ac:dyDescent="0.2">
      <c r="A15" s="7"/>
      <c r="H15" s="9" t="s">
        <v>17</v>
      </c>
    </row>
    <row r="16" spans="1:8" ht="17" thickBot="1" x14ac:dyDescent="0.25">
      <c r="A16" s="10"/>
      <c r="B16" s="11"/>
      <c r="C16" s="11"/>
      <c r="D16" s="11"/>
      <c r="E16" s="11"/>
      <c r="F16" s="11"/>
      <c r="G16" s="11"/>
      <c r="H16" s="12" t="s">
        <v>18</v>
      </c>
    </row>
    <row r="17" spans="1:8" ht="17" thickBot="1" x14ac:dyDescent="0.25"/>
    <row r="18" spans="1:8" x14ac:dyDescent="0.2">
      <c r="A18" s="13" t="s">
        <v>19</v>
      </c>
      <c r="B18" s="5"/>
      <c r="C18" s="5"/>
      <c r="D18" s="5"/>
      <c r="E18" s="5"/>
      <c r="F18" s="5"/>
      <c r="G18" s="5"/>
      <c r="H18" s="6"/>
    </row>
    <row r="19" spans="1:8" x14ac:dyDescent="0.2">
      <c r="A19" s="7" t="s">
        <v>20</v>
      </c>
      <c r="H19" s="9"/>
    </row>
    <row r="20" spans="1:8" x14ac:dyDescent="0.2">
      <c r="A20" s="7" t="s">
        <v>21</v>
      </c>
      <c r="H20" s="9"/>
    </row>
    <row r="21" spans="1:8" x14ac:dyDescent="0.2">
      <c r="A21" s="7" t="s">
        <v>22</v>
      </c>
      <c r="H21" s="9"/>
    </row>
    <row r="22" spans="1:8" x14ac:dyDescent="0.2">
      <c r="A22" s="7" t="s">
        <v>23</v>
      </c>
      <c r="H22" s="9"/>
    </row>
    <row r="23" spans="1:8" x14ac:dyDescent="0.2">
      <c r="A23" s="7" t="s">
        <v>24</v>
      </c>
      <c r="H23" s="9"/>
    </row>
    <row r="24" spans="1:8" x14ac:dyDescent="0.2">
      <c r="A24" s="7" t="s">
        <v>25</v>
      </c>
      <c r="H24" s="9"/>
    </row>
    <row r="25" spans="1:8" ht="17" thickBot="1" x14ac:dyDescent="0.25">
      <c r="A25" s="10" t="s">
        <v>26</v>
      </c>
      <c r="B25" s="11"/>
      <c r="C25" s="11"/>
      <c r="D25" s="11"/>
      <c r="E25" s="11"/>
      <c r="F25" s="11"/>
      <c r="G25" s="11"/>
      <c r="H25" s="12"/>
    </row>
    <row r="27" spans="1:8" x14ac:dyDescent="0.2">
      <c r="A27" s="208" t="s">
        <v>27</v>
      </c>
      <c r="B27" s="208"/>
      <c r="C27" s="208"/>
      <c r="D27" s="208"/>
      <c r="E27" s="208"/>
      <c r="F27" s="208"/>
      <c r="G27" s="208"/>
      <c r="H27" s="208"/>
    </row>
    <row r="29" spans="1:8" x14ac:dyDescent="0.2">
      <c r="A29" s="1" t="s">
        <v>28</v>
      </c>
    </row>
    <row r="30" spans="1:8" x14ac:dyDescent="0.2">
      <c r="A30" s="1" t="s">
        <v>29</v>
      </c>
    </row>
    <row r="31" spans="1:8" x14ac:dyDescent="0.2">
      <c r="A31" s="1" t="s">
        <v>30</v>
      </c>
    </row>
    <row r="32" spans="1:8" x14ac:dyDescent="0.2">
      <c r="A32" s="1" t="s">
        <v>34</v>
      </c>
      <c r="B32" s="1" t="s">
        <v>31</v>
      </c>
    </row>
    <row r="33" spans="1:8" x14ac:dyDescent="0.2">
      <c r="B33" s="1" t="s">
        <v>32</v>
      </c>
    </row>
    <row r="34" spans="1:8" x14ac:dyDescent="0.2">
      <c r="B34" s="1" t="s">
        <v>33</v>
      </c>
    </row>
    <row r="36" spans="1:8" x14ac:dyDescent="0.2">
      <c r="A36" s="14" t="s">
        <v>35</v>
      </c>
      <c r="B36" s="14"/>
      <c r="C36" s="14"/>
      <c r="D36" s="14"/>
      <c r="E36" s="14"/>
      <c r="F36" s="14"/>
      <c r="G36" s="14"/>
      <c r="H36" s="14"/>
    </row>
    <row r="43" spans="1:8" x14ac:dyDescent="0.2">
      <c r="A43" s="1" t="s">
        <v>39</v>
      </c>
    </row>
    <row r="44" spans="1:8" x14ac:dyDescent="0.2">
      <c r="A44" s="1" t="s">
        <v>36</v>
      </c>
    </row>
    <row r="45" spans="1:8" x14ac:dyDescent="0.2">
      <c r="A45" s="1" t="s">
        <v>37</v>
      </c>
    </row>
    <row r="46" spans="1:8" x14ac:dyDescent="0.2">
      <c r="A46" s="1" t="s">
        <v>38</v>
      </c>
    </row>
    <row r="48" spans="1:8" x14ac:dyDescent="0.2">
      <c r="A48" s="1" t="s">
        <v>40</v>
      </c>
    </row>
    <row r="50" spans="1:2" x14ac:dyDescent="0.2">
      <c r="A50" s="1" t="s">
        <v>42</v>
      </c>
    </row>
    <row r="51" spans="1:2" x14ac:dyDescent="0.2">
      <c r="A51" s="1" t="s">
        <v>41</v>
      </c>
    </row>
    <row r="53" spans="1:2" x14ac:dyDescent="0.2">
      <c r="A53" s="1" t="s">
        <v>43</v>
      </c>
    </row>
    <row r="55" spans="1:2" x14ac:dyDescent="0.2">
      <c r="A55" s="15" t="s">
        <v>45</v>
      </c>
    </row>
    <row r="56" spans="1:2" x14ac:dyDescent="0.2">
      <c r="A56" s="1" t="s">
        <v>44</v>
      </c>
    </row>
    <row r="61" spans="1:2" x14ac:dyDescent="0.2">
      <c r="A61" s="2" t="s">
        <v>46</v>
      </c>
    </row>
    <row r="62" spans="1:2" x14ac:dyDescent="0.2">
      <c r="B62" s="1" t="s">
        <v>47</v>
      </c>
    </row>
    <row r="63" spans="1:2" x14ac:dyDescent="0.2">
      <c r="B63" s="1" t="s">
        <v>48</v>
      </c>
    </row>
    <row r="64" spans="1:2" ht="17" thickBot="1" x14ac:dyDescent="0.25"/>
    <row r="65" spans="1:8" ht="17" thickBot="1" x14ac:dyDescent="0.25">
      <c r="A65" s="16" t="s">
        <v>49</v>
      </c>
      <c r="B65" s="17"/>
      <c r="C65" s="17"/>
      <c r="D65" s="17"/>
      <c r="E65" s="17"/>
      <c r="F65" s="17"/>
      <c r="G65" s="17"/>
      <c r="H65" s="18"/>
    </row>
    <row r="66" spans="1:8" x14ac:dyDescent="0.2">
      <c r="A66" s="1" t="s">
        <v>50</v>
      </c>
    </row>
    <row r="67" spans="1:8" x14ac:dyDescent="0.2">
      <c r="A67" s="1" t="s">
        <v>51</v>
      </c>
    </row>
    <row r="68" spans="1:8" x14ac:dyDescent="0.2">
      <c r="A68" s="1" t="s">
        <v>52</v>
      </c>
    </row>
    <row r="69" spans="1:8" x14ac:dyDescent="0.2">
      <c r="A69" s="1" t="s">
        <v>53</v>
      </c>
    </row>
    <row r="71" spans="1:8" ht="17" thickBot="1" x14ac:dyDescent="0.25">
      <c r="B71" s="11" t="s">
        <v>54</v>
      </c>
      <c r="C71" s="11" t="s">
        <v>55</v>
      </c>
      <c r="D71" s="11"/>
    </row>
    <row r="72" spans="1:8" x14ac:dyDescent="0.2">
      <c r="B72" s="1">
        <v>4</v>
      </c>
      <c r="C72" s="1" t="s">
        <v>56</v>
      </c>
    </row>
    <row r="73" spans="1:8" x14ac:dyDescent="0.2">
      <c r="B73" s="1">
        <v>1</v>
      </c>
      <c r="C73" s="1" t="s">
        <v>57</v>
      </c>
    </row>
    <row r="74" spans="1:8" x14ac:dyDescent="0.2">
      <c r="B74" s="1">
        <v>2</v>
      </c>
      <c r="C74" s="1" t="s">
        <v>58</v>
      </c>
    </row>
    <row r="75" spans="1:8" x14ac:dyDescent="0.2">
      <c r="B75" s="1">
        <v>3</v>
      </c>
      <c r="C75" s="1" t="s">
        <v>59</v>
      </c>
    </row>
    <row r="77" spans="1:8" x14ac:dyDescent="0.2">
      <c r="A77" s="1" t="s">
        <v>60</v>
      </c>
    </row>
    <row r="78" spans="1:8" x14ac:dyDescent="0.2">
      <c r="A78" s="1" t="s">
        <v>61</v>
      </c>
    </row>
    <row r="79" spans="1:8" x14ac:dyDescent="0.2">
      <c r="A79" s="1" t="s">
        <v>62</v>
      </c>
    </row>
    <row r="80" spans="1:8" x14ac:dyDescent="0.2">
      <c r="A80" s="1" t="s">
        <v>63</v>
      </c>
    </row>
    <row r="82" spans="1:8" ht="17" thickBot="1" x14ac:dyDescent="0.25">
      <c r="A82" s="11" t="s">
        <v>64</v>
      </c>
      <c r="B82" s="11" t="s">
        <v>66</v>
      </c>
      <c r="C82" s="11"/>
      <c r="D82" s="11"/>
      <c r="E82" s="11"/>
      <c r="F82" s="11"/>
      <c r="G82" s="11"/>
      <c r="H82" s="11"/>
    </row>
    <row r="83" spans="1:8" x14ac:dyDescent="0.2">
      <c r="A83" s="1" t="s">
        <v>65</v>
      </c>
      <c r="B83" s="1" t="s">
        <v>67</v>
      </c>
    </row>
    <row r="84" spans="1:8" x14ac:dyDescent="0.2">
      <c r="B84" s="1" t="s">
        <v>68</v>
      </c>
    </row>
    <row r="85" spans="1:8" x14ac:dyDescent="0.2">
      <c r="A85" s="1" t="s">
        <v>69</v>
      </c>
      <c r="B85" s="1" t="s">
        <v>70</v>
      </c>
    </row>
    <row r="86" spans="1:8" x14ac:dyDescent="0.2">
      <c r="A86" s="1" t="s">
        <v>71</v>
      </c>
      <c r="B86" s="1" t="s">
        <v>72</v>
      </c>
    </row>
    <row r="87" spans="1:8" x14ac:dyDescent="0.2">
      <c r="B87" s="1" t="s">
        <v>73</v>
      </c>
    </row>
    <row r="88" spans="1:8" x14ac:dyDescent="0.2">
      <c r="B88" s="1" t="s">
        <v>74</v>
      </c>
    </row>
    <row r="94" spans="1:8" x14ac:dyDescent="0.2">
      <c r="A94" s="1" t="s">
        <v>75</v>
      </c>
    </row>
    <row r="95" spans="1:8" ht="17" thickBot="1" x14ac:dyDescent="0.25"/>
    <row r="96" spans="1:8" ht="17" thickBot="1" x14ac:dyDescent="0.25">
      <c r="A96" s="16" t="s">
        <v>76</v>
      </c>
      <c r="B96" s="17"/>
      <c r="C96" s="17"/>
      <c r="D96" s="17"/>
      <c r="E96" s="17"/>
      <c r="F96" s="17"/>
      <c r="G96" s="17"/>
      <c r="H96" s="18"/>
    </row>
    <row r="98" spans="1:1" x14ac:dyDescent="0.2">
      <c r="A98" s="1" t="s">
        <v>77</v>
      </c>
    </row>
    <row r="99" spans="1:1" x14ac:dyDescent="0.2">
      <c r="A99" s="1" t="s">
        <v>78</v>
      </c>
    </row>
    <row r="100" spans="1:1" x14ac:dyDescent="0.2">
      <c r="A100" s="1" t="s">
        <v>79</v>
      </c>
    </row>
    <row r="101" spans="1:1" x14ac:dyDescent="0.2">
      <c r="A101" s="1" t="s">
        <v>60</v>
      </c>
    </row>
    <row r="102" spans="1:1" x14ac:dyDescent="0.2">
      <c r="A102" s="1" t="s">
        <v>80</v>
      </c>
    </row>
    <row r="103" spans="1:1" x14ac:dyDescent="0.2">
      <c r="A103" s="1" t="s">
        <v>81</v>
      </c>
    </row>
    <row r="104" spans="1:1" x14ac:dyDescent="0.2">
      <c r="A104" s="1" t="s">
        <v>82</v>
      </c>
    </row>
    <row r="105" spans="1:1" x14ac:dyDescent="0.2">
      <c r="A105" s="1" t="s">
        <v>83</v>
      </c>
    </row>
    <row r="106" spans="1:1" x14ac:dyDescent="0.2">
      <c r="A106" s="1" t="s">
        <v>84</v>
      </c>
    </row>
    <row r="107" spans="1:1" x14ac:dyDescent="0.2">
      <c r="A107" s="1" t="s">
        <v>85</v>
      </c>
    </row>
    <row r="109" spans="1:1" x14ac:dyDescent="0.2">
      <c r="A109" s="1" t="s">
        <v>86</v>
      </c>
    </row>
    <row r="110" spans="1:1" x14ac:dyDescent="0.2">
      <c r="A110" s="1" t="s">
        <v>87</v>
      </c>
    </row>
    <row r="111" spans="1:1" x14ac:dyDescent="0.2">
      <c r="A111" s="1" t="s">
        <v>88</v>
      </c>
    </row>
    <row r="112" spans="1:1" x14ac:dyDescent="0.2">
      <c r="A112" s="1" t="s">
        <v>89</v>
      </c>
    </row>
    <row r="113" spans="1:6" x14ac:dyDescent="0.2">
      <c r="A113" s="1" t="s">
        <v>92</v>
      </c>
    </row>
    <row r="115" spans="1:6" x14ac:dyDescent="0.2">
      <c r="D115" s="19"/>
      <c r="E115" s="19" t="s">
        <v>90</v>
      </c>
      <c r="F115" s="19" t="s">
        <v>91</v>
      </c>
    </row>
    <row r="116" spans="1:6" ht="17" thickBot="1" x14ac:dyDescent="0.25">
      <c r="B116" s="11" t="s">
        <v>93</v>
      </c>
      <c r="C116" s="11"/>
      <c r="D116" s="20">
        <v>45657</v>
      </c>
      <c r="E116" s="20">
        <v>46387</v>
      </c>
      <c r="F116" s="20">
        <v>46387</v>
      </c>
    </row>
    <row r="117" spans="1:6" x14ac:dyDescent="0.2">
      <c r="A117" s="1" t="s">
        <v>95</v>
      </c>
      <c r="B117" s="1" t="s">
        <v>94</v>
      </c>
      <c r="D117" s="21">
        <v>1000000</v>
      </c>
      <c r="E117" s="21">
        <v>1000000</v>
      </c>
      <c r="F117" s="21">
        <v>1000000</v>
      </c>
    </row>
    <row r="118" spans="1:6" x14ac:dyDescent="0.2">
      <c r="A118" s="1" t="s">
        <v>98</v>
      </c>
      <c r="B118" s="1" t="s">
        <v>96</v>
      </c>
      <c r="D118" s="21">
        <f>-1000000/50*5</f>
        <v>-100000</v>
      </c>
      <c r="E118" s="21">
        <f>-1000000/50*7</f>
        <v>-140000</v>
      </c>
      <c r="F118" s="21">
        <f>E118</f>
        <v>-140000</v>
      </c>
    </row>
    <row r="119" spans="1:6" x14ac:dyDescent="0.2">
      <c r="A119" s="1" t="s">
        <v>98</v>
      </c>
      <c r="B119" s="1" t="s">
        <v>97</v>
      </c>
      <c r="D119" s="21">
        <v>0</v>
      </c>
      <c r="E119" s="21">
        <v>0</v>
      </c>
      <c r="F119" s="21">
        <f>F120-E120</f>
        <v>-160000</v>
      </c>
    </row>
    <row r="120" spans="1:6" x14ac:dyDescent="0.2">
      <c r="B120" s="1" t="s">
        <v>99</v>
      </c>
      <c r="D120" s="22">
        <f>SUM(D117:D119)</f>
        <v>900000</v>
      </c>
      <c r="E120" s="22">
        <f>SUM(E117:E119)</f>
        <v>860000</v>
      </c>
      <c r="F120" s="27">
        <f>G150</f>
        <v>700000</v>
      </c>
    </row>
    <row r="122" spans="1:6" s="19" customFormat="1" x14ac:dyDescent="0.2">
      <c r="B122" s="19" t="s">
        <v>100</v>
      </c>
      <c r="D122" s="21">
        <f>1000000/50</f>
        <v>20000</v>
      </c>
      <c r="E122" s="21">
        <f>D122</f>
        <v>20000</v>
      </c>
      <c r="F122" s="21">
        <f>E122</f>
        <v>20000</v>
      </c>
    </row>
    <row r="123" spans="1:6" s="19" customFormat="1" x14ac:dyDescent="0.2">
      <c r="B123" s="28" t="s">
        <v>136</v>
      </c>
      <c r="D123" s="21"/>
      <c r="E123" s="21"/>
      <c r="F123" s="21">
        <f>-F119</f>
        <v>160000</v>
      </c>
    </row>
    <row r="125" spans="1:6" x14ac:dyDescent="0.2">
      <c r="A125" s="1" t="s">
        <v>101</v>
      </c>
    </row>
    <row r="126" spans="1:6" x14ac:dyDescent="0.2">
      <c r="A126" s="1" t="s">
        <v>102</v>
      </c>
    </row>
    <row r="127" spans="1:6" x14ac:dyDescent="0.2">
      <c r="A127" s="1" t="s">
        <v>103</v>
      </c>
    </row>
    <row r="128" spans="1:6" x14ac:dyDescent="0.2">
      <c r="A128" s="1" t="s">
        <v>104</v>
      </c>
      <c r="C128" s="1" t="s">
        <v>105</v>
      </c>
      <c r="D128" s="23">
        <v>20000</v>
      </c>
    </row>
    <row r="129" spans="1:7" x14ac:dyDescent="0.2">
      <c r="C129" s="1" t="s">
        <v>106</v>
      </c>
      <c r="D129" s="1">
        <v>43</v>
      </c>
      <c r="E129" s="1" t="s">
        <v>107</v>
      </c>
    </row>
    <row r="130" spans="1:7" x14ac:dyDescent="0.2">
      <c r="C130" s="1" t="s">
        <v>108</v>
      </c>
      <c r="D130" s="24">
        <v>0.05</v>
      </c>
      <c r="E130" s="1" t="s">
        <v>109</v>
      </c>
    </row>
    <row r="132" spans="1:7" x14ac:dyDescent="0.2">
      <c r="A132" s="1" t="s">
        <v>123</v>
      </c>
    </row>
    <row r="133" spans="1:7" x14ac:dyDescent="0.2">
      <c r="A133" s="1" t="s">
        <v>110</v>
      </c>
    </row>
    <row r="134" spans="1:7" x14ac:dyDescent="0.2">
      <c r="A134" s="1" t="s">
        <v>111</v>
      </c>
    </row>
    <row r="136" spans="1:7" x14ac:dyDescent="0.2">
      <c r="A136" s="1" t="s">
        <v>112</v>
      </c>
    </row>
    <row r="138" spans="1:7" x14ac:dyDescent="0.2">
      <c r="C138" s="1" t="s">
        <v>118</v>
      </c>
      <c r="F138" s="24">
        <v>0.05</v>
      </c>
      <c r="G138" s="1" t="s">
        <v>113</v>
      </c>
    </row>
    <row r="139" spans="1:7" x14ac:dyDescent="0.2">
      <c r="C139" s="1" t="s">
        <v>119</v>
      </c>
      <c r="F139" s="1">
        <v>43</v>
      </c>
      <c r="G139" s="1" t="s">
        <v>114</v>
      </c>
    </row>
    <row r="140" spans="1:7" x14ac:dyDescent="0.2">
      <c r="C140" s="1" t="s">
        <v>120</v>
      </c>
      <c r="F140" s="23">
        <f>D128</f>
        <v>20000</v>
      </c>
      <c r="G140" s="1" t="s">
        <v>115</v>
      </c>
    </row>
    <row r="141" spans="1:7" x14ac:dyDescent="0.2">
      <c r="C141" s="1" t="s">
        <v>122</v>
      </c>
      <c r="F141" s="25">
        <f>PV(F138,F139,F140,F142)</f>
        <v>-350918.23956798518</v>
      </c>
      <c r="G141" s="1" t="s">
        <v>116</v>
      </c>
    </row>
    <row r="142" spans="1:7" x14ac:dyDescent="0.2">
      <c r="C142" s="1" t="s">
        <v>121</v>
      </c>
      <c r="F142" s="1">
        <v>0</v>
      </c>
      <c r="G142" s="1" t="s">
        <v>117</v>
      </c>
    </row>
    <row r="144" spans="1:7" x14ac:dyDescent="0.2">
      <c r="A144" s="1" t="s">
        <v>124</v>
      </c>
    </row>
    <row r="145" spans="1:8" x14ac:dyDescent="0.2">
      <c r="A145" s="1" t="s">
        <v>125</v>
      </c>
    </row>
    <row r="146" spans="1:8" x14ac:dyDescent="0.2">
      <c r="A146" s="1" t="s">
        <v>126</v>
      </c>
    </row>
    <row r="148" spans="1:8" x14ac:dyDescent="0.2">
      <c r="A148" s="1" t="s">
        <v>127</v>
      </c>
      <c r="C148" s="1" t="s">
        <v>128</v>
      </c>
      <c r="G148" s="23">
        <v>700000</v>
      </c>
    </row>
    <row r="149" spans="1:8" x14ac:dyDescent="0.2">
      <c r="C149" s="1" t="s">
        <v>129</v>
      </c>
      <c r="G149" s="23">
        <f>-F141</f>
        <v>350918.23956798518</v>
      </c>
    </row>
    <row r="150" spans="1:8" x14ac:dyDescent="0.2">
      <c r="C150" s="1" t="s">
        <v>130</v>
      </c>
      <c r="G150" s="26">
        <f>G148</f>
        <v>700000</v>
      </c>
      <c r="H150" s="1" t="s">
        <v>131</v>
      </c>
    </row>
    <row r="152" spans="1:8" x14ac:dyDescent="0.2">
      <c r="A152" s="2" t="s">
        <v>132</v>
      </c>
    </row>
    <row r="153" spans="1:8" x14ac:dyDescent="0.2">
      <c r="A153" s="1" t="s">
        <v>133</v>
      </c>
    </row>
    <row r="154" spans="1:8" x14ac:dyDescent="0.2">
      <c r="A154" s="1" t="s">
        <v>134</v>
      </c>
    </row>
    <row r="155" spans="1:8" x14ac:dyDescent="0.2">
      <c r="A155" s="1" t="s">
        <v>135</v>
      </c>
    </row>
    <row r="160" spans="1:8" x14ac:dyDescent="0.2">
      <c r="A160" s="1" t="s">
        <v>137</v>
      </c>
    </row>
    <row r="161" spans="1:6" x14ac:dyDescent="0.2">
      <c r="A161" s="1" t="s">
        <v>138</v>
      </c>
    </row>
    <row r="162" spans="1:6" x14ac:dyDescent="0.2">
      <c r="A162" s="1" t="s">
        <v>139</v>
      </c>
    </row>
    <row r="163" spans="1:6" x14ac:dyDescent="0.2">
      <c r="A163" s="1" t="s">
        <v>140</v>
      </c>
    </row>
    <row r="164" spans="1:6" x14ac:dyDescent="0.2">
      <c r="A164" s="1" t="s">
        <v>141</v>
      </c>
    </row>
    <row r="165" spans="1:6" x14ac:dyDescent="0.2">
      <c r="A165" s="1" t="s">
        <v>142</v>
      </c>
    </row>
    <row r="166" spans="1:6" x14ac:dyDescent="0.2">
      <c r="A166" s="1" t="s">
        <v>143</v>
      </c>
    </row>
    <row r="167" spans="1:6" x14ac:dyDescent="0.2">
      <c r="A167" s="1" t="s">
        <v>144</v>
      </c>
    </row>
    <row r="168" spans="1:6" x14ac:dyDescent="0.2">
      <c r="A168" s="1" t="s">
        <v>145</v>
      </c>
    </row>
    <row r="170" spans="1:6" x14ac:dyDescent="0.2">
      <c r="A170" s="1" t="s">
        <v>146</v>
      </c>
    </row>
    <row r="172" spans="1:6" x14ac:dyDescent="0.2">
      <c r="B172" s="29" t="s">
        <v>147</v>
      </c>
      <c r="E172" s="29" t="s">
        <v>148</v>
      </c>
      <c r="F172" s="29" t="s">
        <v>149</v>
      </c>
    </row>
    <row r="173" spans="1:6" x14ac:dyDescent="0.2">
      <c r="B173" s="29" t="s">
        <v>150</v>
      </c>
      <c r="E173" s="30">
        <v>50000</v>
      </c>
      <c r="F173" s="29" t="s">
        <v>161</v>
      </c>
    </row>
    <row r="174" spans="1:6" x14ac:dyDescent="0.2">
      <c r="A174" s="1" t="s">
        <v>152</v>
      </c>
      <c r="B174" s="1" t="s">
        <v>151</v>
      </c>
      <c r="E174" s="23">
        <f>E182</f>
        <v>165289.25619834708</v>
      </c>
      <c r="F174" s="1" t="s">
        <v>162</v>
      </c>
    </row>
    <row r="175" spans="1:6" x14ac:dyDescent="0.2">
      <c r="B175" s="1" t="s">
        <v>163</v>
      </c>
      <c r="E175" s="23">
        <v>80000</v>
      </c>
    </row>
    <row r="176" spans="1:6" x14ac:dyDescent="0.2">
      <c r="B176" s="1" t="s">
        <v>185</v>
      </c>
      <c r="E176" s="23">
        <v>5000</v>
      </c>
    </row>
    <row r="178" spans="2:7" x14ac:dyDescent="0.2">
      <c r="B178" s="19" t="s">
        <v>152</v>
      </c>
      <c r="C178" s="1" t="s">
        <v>153</v>
      </c>
    </row>
    <row r="179" spans="2:7" x14ac:dyDescent="0.2">
      <c r="C179" s="1" t="s">
        <v>155</v>
      </c>
      <c r="E179" s="24">
        <v>0.1</v>
      </c>
      <c r="F179" s="1" t="s">
        <v>113</v>
      </c>
    </row>
    <row r="180" spans="2:7" x14ac:dyDescent="0.2">
      <c r="C180" s="1" t="s">
        <v>154</v>
      </c>
      <c r="E180" s="1">
        <v>2</v>
      </c>
      <c r="F180" s="1" t="s">
        <v>114</v>
      </c>
    </row>
    <row r="181" spans="2:7" x14ac:dyDescent="0.2">
      <c r="C181" s="1" t="s">
        <v>156</v>
      </c>
      <c r="E181" s="1">
        <v>0</v>
      </c>
      <c r="F181" s="1" t="s">
        <v>115</v>
      </c>
      <c r="G181" s="1" t="s">
        <v>157</v>
      </c>
    </row>
    <row r="182" spans="2:7" x14ac:dyDescent="0.2">
      <c r="C182" s="1" t="s">
        <v>160</v>
      </c>
      <c r="E182" s="31">
        <f>PV(E179,E180,E181,E183)</f>
        <v>165289.25619834708</v>
      </c>
      <c r="F182" s="1" t="s">
        <v>116</v>
      </c>
    </row>
    <row r="183" spans="2:7" x14ac:dyDescent="0.2">
      <c r="C183" s="1" t="s">
        <v>158</v>
      </c>
      <c r="E183" s="23">
        <v>-200000</v>
      </c>
      <c r="F183" s="1" t="s">
        <v>117</v>
      </c>
      <c r="G183" s="1" t="s">
        <v>159</v>
      </c>
    </row>
    <row r="186" spans="2:7" x14ac:dyDescent="0.2">
      <c r="B186" s="2" t="s">
        <v>164</v>
      </c>
    </row>
    <row r="187" spans="2:7" x14ac:dyDescent="0.2">
      <c r="B187" s="1" t="s">
        <v>165</v>
      </c>
    </row>
    <row r="188" spans="2:7" x14ac:dyDescent="0.2">
      <c r="B188" s="1" t="s">
        <v>166</v>
      </c>
    </row>
    <row r="189" spans="2:7" x14ac:dyDescent="0.2">
      <c r="B189" s="1" t="s">
        <v>167</v>
      </c>
    </row>
    <row r="190" spans="2:7" x14ac:dyDescent="0.2">
      <c r="B190" s="1" t="s">
        <v>168</v>
      </c>
    </row>
    <row r="191" spans="2:7" x14ac:dyDescent="0.2">
      <c r="B191" s="1" t="s">
        <v>169</v>
      </c>
    </row>
    <row r="193" spans="1:8" x14ac:dyDescent="0.2">
      <c r="A193" s="19"/>
      <c r="B193" s="19"/>
      <c r="C193" s="19"/>
      <c r="D193" s="19"/>
      <c r="E193" s="19"/>
      <c r="F193" s="19"/>
      <c r="G193" s="19"/>
      <c r="H193" s="19"/>
    </row>
    <row r="194" spans="1:8" x14ac:dyDescent="0.2">
      <c r="A194" s="19"/>
      <c r="B194" s="19"/>
      <c r="C194" s="19"/>
      <c r="D194" s="19"/>
      <c r="E194" s="19"/>
      <c r="F194" s="19"/>
      <c r="G194" s="19"/>
      <c r="H194" s="19"/>
    </row>
    <row r="195" spans="1:8" x14ac:dyDescent="0.2">
      <c r="A195" s="19" t="s">
        <v>182</v>
      </c>
      <c r="B195" s="19" t="s">
        <v>181</v>
      </c>
      <c r="C195" s="19" t="s">
        <v>179</v>
      </c>
      <c r="D195" s="19" t="s">
        <v>175</v>
      </c>
      <c r="E195" s="19" t="s">
        <v>173</v>
      </c>
      <c r="F195" s="19" t="s">
        <v>172</v>
      </c>
      <c r="G195" s="19" t="s">
        <v>171</v>
      </c>
      <c r="H195" s="19" t="s">
        <v>170</v>
      </c>
    </row>
    <row r="196" spans="1:8" x14ac:dyDescent="0.2">
      <c r="A196" s="19" t="s">
        <v>186</v>
      </c>
      <c r="B196" s="19"/>
      <c r="C196" s="19" t="s">
        <v>180</v>
      </c>
      <c r="D196" s="19" t="s">
        <v>176</v>
      </c>
      <c r="E196" s="19" t="s">
        <v>174</v>
      </c>
      <c r="F196" s="19"/>
      <c r="G196" s="19"/>
      <c r="H196" s="19"/>
    </row>
    <row r="199" spans="1:8" x14ac:dyDescent="0.2">
      <c r="A199" s="1" t="s">
        <v>183</v>
      </c>
      <c r="F199" s="1" t="s">
        <v>177</v>
      </c>
    </row>
    <row r="200" spans="1:8" x14ac:dyDescent="0.2">
      <c r="A200" s="1" t="s">
        <v>184</v>
      </c>
      <c r="F200" s="1" t="s">
        <v>178</v>
      </c>
    </row>
  </sheetData>
  <mergeCells count="1">
    <mergeCell ref="A27:H27"/>
  </mergeCells>
  <hyperlinks>
    <hyperlink ref="C4" r:id="rId1" xr:uid="{CF3CC791-4997-B14E-AA29-F26037EF7515}"/>
  </hyperlinks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7E47F-1882-2847-B3B5-6C7D86F4A853}">
  <dimension ref="A1:T442"/>
  <sheetViews>
    <sheetView rightToLeft="1" topLeftCell="D15" zoomScale="181" zoomScaleNormal="220" workbookViewId="0">
      <selection activeCell="O29" sqref="O29"/>
    </sheetView>
  </sheetViews>
  <sheetFormatPr baseColWidth="10" defaultRowHeight="16" x14ac:dyDescent="0.2"/>
  <cols>
    <col min="1" max="2" width="10.83203125" style="1"/>
    <col min="3" max="3" width="10.5" style="1" customWidth="1"/>
    <col min="4" max="4" width="11.6640625" style="1" bestFit="1" customWidth="1"/>
    <col min="5" max="9" width="10.83203125" style="1"/>
    <col min="10" max="15" width="10.83203125" style="1" customWidth="1"/>
    <col min="16" max="16384" width="10.83203125" style="1"/>
  </cols>
  <sheetData>
    <row r="1" spans="1:20" x14ac:dyDescent="0.2">
      <c r="A1" s="3" t="s">
        <v>1401</v>
      </c>
      <c r="B1" s="3"/>
      <c r="C1" s="3"/>
      <c r="D1" s="3"/>
      <c r="E1" s="3"/>
      <c r="F1" s="3" t="s">
        <v>1652</v>
      </c>
      <c r="G1" s="3"/>
      <c r="H1" s="3"/>
    </row>
    <row r="3" spans="1:20" x14ac:dyDescent="0.2">
      <c r="A3" s="218" t="s">
        <v>1402</v>
      </c>
      <c r="B3" s="218"/>
      <c r="C3" s="218"/>
      <c r="D3" s="218"/>
      <c r="E3" s="218"/>
      <c r="F3" s="218"/>
      <c r="G3" s="218"/>
      <c r="H3" s="218"/>
    </row>
    <row r="4" spans="1:20" x14ac:dyDescent="0.2">
      <c r="A4" s="75" t="s">
        <v>1403</v>
      </c>
      <c r="B4" s="75"/>
      <c r="C4" s="75"/>
      <c r="D4" s="75"/>
      <c r="E4" s="75"/>
      <c r="F4" s="75"/>
      <c r="G4" s="75"/>
      <c r="H4" s="75"/>
    </row>
    <row r="5" spans="1:20" x14ac:dyDescent="0.2">
      <c r="A5" s="219" t="s">
        <v>1404</v>
      </c>
      <c r="B5" s="219"/>
      <c r="C5" s="219"/>
      <c r="D5" s="219"/>
      <c r="E5" s="219"/>
      <c r="F5" s="219"/>
      <c r="G5" s="219"/>
      <c r="H5" s="219"/>
    </row>
    <row r="6" spans="1:20" x14ac:dyDescent="0.2">
      <c r="A6" s="219" t="s">
        <v>1405</v>
      </c>
      <c r="B6" s="219"/>
      <c r="C6" s="219"/>
      <c r="D6" s="219"/>
      <c r="E6" s="219"/>
      <c r="F6" s="219"/>
      <c r="G6" s="219"/>
      <c r="H6" s="219"/>
    </row>
    <row r="8" spans="1:20" x14ac:dyDescent="0.2">
      <c r="A8" s="218" t="s">
        <v>787</v>
      </c>
      <c r="B8" s="218"/>
      <c r="C8" s="218"/>
      <c r="D8" s="218"/>
      <c r="E8" s="218"/>
      <c r="F8" s="218"/>
      <c r="G8" s="218"/>
      <c r="H8" s="218"/>
    </row>
    <row r="9" spans="1:20" x14ac:dyDescent="0.2">
      <c r="A9" s="1" t="s">
        <v>1406</v>
      </c>
    </row>
    <row r="10" spans="1:20" x14ac:dyDescent="0.2">
      <c r="A10" s="1" t="s">
        <v>1407</v>
      </c>
    </row>
    <row r="11" spans="1:20" x14ac:dyDescent="0.2">
      <c r="A11" s="1" t="s">
        <v>1408</v>
      </c>
    </row>
    <row r="12" spans="1:20" x14ac:dyDescent="0.2">
      <c r="A12" s="1" t="s">
        <v>1409</v>
      </c>
    </row>
    <row r="13" spans="1:20" x14ac:dyDescent="0.2">
      <c r="A13" s="1" t="s">
        <v>1410</v>
      </c>
    </row>
    <row r="14" spans="1:20" x14ac:dyDescent="0.2">
      <c r="A14" s="220" t="s">
        <v>1411</v>
      </c>
      <c r="B14" s="220"/>
      <c r="C14" s="220"/>
      <c r="D14" s="220"/>
      <c r="E14" s="220"/>
      <c r="F14" s="220"/>
      <c r="G14" s="220"/>
      <c r="H14" s="220"/>
    </row>
    <row r="15" spans="1:20" x14ac:dyDescent="0.2">
      <c r="A15" s="220" t="s">
        <v>1412</v>
      </c>
      <c r="B15" s="220"/>
      <c r="C15" s="220"/>
      <c r="D15" s="220"/>
      <c r="E15" s="220"/>
      <c r="F15" s="220"/>
      <c r="G15" s="220"/>
      <c r="H15" s="220"/>
    </row>
    <row r="16" spans="1:20" x14ac:dyDescent="0.2">
      <c r="A16" s="220" t="s">
        <v>1413</v>
      </c>
      <c r="B16" s="220"/>
      <c r="C16" s="220"/>
      <c r="D16" s="220"/>
      <c r="E16" s="220"/>
      <c r="F16" s="220"/>
      <c r="G16" s="220"/>
      <c r="H16" s="220"/>
      <c r="M16" s="1" t="s">
        <v>927</v>
      </c>
      <c r="N16" s="19" t="s">
        <v>659</v>
      </c>
      <c r="O16" s="19" t="s">
        <v>927</v>
      </c>
      <c r="P16" s="19" t="s">
        <v>659</v>
      </c>
      <c r="Q16" s="19" t="s">
        <v>927</v>
      </c>
      <c r="R16" s="19" t="s">
        <v>659</v>
      </c>
      <c r="S16" s="19" t="s">
        <v>927</v>
      </c>
      <c r="T16" s="19" t="s">
        <v>659</v>
      </c>
    </row>
    <row r="17" spans="1:20" x14ac:dyDescent="0.2">
      <c r="A17" s="1" t="s">
        <v>1414</v>
      </c>
      <c r="J17" s="36">
        <v>44197</v>
      </c>
      <c r="K17" s="36">
        <v>44561</v>
      </c>
      <c r="L17" s="36">
        <v>44926</v>
      </c>
      <c r="M17" s="36">
        <v>45291</v>
      </c>
      <c r="N17" s="36">
        <v>45291</v>
      </c>
      <c r="O17" s="36">
        <v>45657</v>
      </c>
      <c r="P17" s="36">
        <v>45657</v>
      </c>
      <c r="Q17" s="36">
        <v>46022</v>
      </c>
      <c r="R17" s="36">
        <v>46022</v>
      </c>
      <c r="S17" s="36">
        <v>46387</v>
      </c>
      <c r="T17" s="36">
        <v>46387</v>
      </c>
    </row>
    <row r="18" spans="1:20" x14ac:dyDescent="0.2">
      <c r="A18" s="1" t="s">
        <v>1415</v>
      </c>
      <c r="I18" s="1" t="s">
        <v>95</v>
      </c>
      <c r="J18" s="38">
        <v>400000</v>
      </c>
      <c r="K18" s="38">
        <f>J18</f>
        <v>400000</v>
      </c>
      <c r="L18" s="38">
        <f>K18</f>
        <v>400000</v>
      </c>
      <c r="M18" s="38">
        <f>L18</f>
        <v>400000</v>
      </c>
      <c r="N18" s="38">
        <f>M18</f>
        <v>400000</v>
      </c>
      <c r="O18" s="38">
        <f>N18</f>
        <v>400000</v>
      </c>
      <c r="P18" s="38">
        <f>O18</f>
        <v>400000</v>
      </c>
      <c r="Q18" s="38">
        <f>P18</f>
        <v>400000</v>
      </c>
      <c r="R18" s="38">
        <f>Q18</f>
        <v>400000</v>
      </c>
      <c r="S18" s="38">
        <f>R18</f>
        <v>400000</v>
      </c>
      <c r="T18" s="38">
        <f>S18</f>
        <v>400000</v>
      </c>
    </row>
    <row r="19" spans="1:20" x14ac:dyDescent="0.2">
      <c r="A19" s="1" t="s">
        <v>1416</v>
      </c>
      <c r="I19" s="1" t="s">
        <v>96</v>
      </c>
      <c r="J19" s="19">
        <v>0</v>
      </c>
      <c r="K19" s="38">
        <f>-K23</f>
        <v>-72727.272727272721</v>
      </c>
      <c r="L19" s="38">
        <f>K19-L23</f>
        <v>-138181.81818181818</v>
      </c>
      <c r="M19" s="38">
        <f>L19-M23</f>
        <v>-196363.63636363635</v>
      </c>
      <c r="N19" s="38">
        <f>M19</f>
        <v>-196363.63636363635</v>
      </c>
      <c r="O19" s="38">
        <f>N19-O23-(O20-N20)</f>
        <v>-247272.72727272724</v>
      </c>
      <c r="P19" s="38">
        <f>O19</f>
        <v>-247272.72727272724</v>
      </c>
      <c r="Q19" s="38">
        <f>P19-Q23-(Q20-P20)</f>
        <v>-290909.09090909088</v>
      </c>
      <c r="R19" s="38">
        <f>Q19</f>
        <v>-290909.09090909088</v>
      </c>
      <c r="S19" s="38">
        <f>R19-S23-(S20-R20)</f>
        <v>-327272.72727272724</v>
      </c>
      <c r="T19" s="38">
        <f>S19</f>
        <v>-327272.72727272724</v>
      </c>
    </row>
    <row r="20" spans="1:20" x14ac:dyDescent="0.2">
      <c r="A20" s="1" t="s">
        <v>1417</v>
      </c>
      <c r="I20" s="1" t="s">
        <v>718</v>
      </c>
      <c r="J20" s="19">
        <v>0</v>
      </c>
      <c r="K20" s="19">
        <v>0</v>
      </c>
      <c r="L20" s="19">
        <v>0</v>
      </c>
      <c r="M20" s="19">
        <v>0</v>
      </c>
      <c r="N20" s="38">
        <f>-N24</f>
        <v>-57583.799105575599</v>
      </c>
      <c r="O20" s="38">
        <f>N20-N20*7/(7*8/2)</f>
        <v>-43187.849329181699</v>
      </c>
      <c r="P20" s="38">
        <f>O20+P25</f>
        <v>-16727.272727272764</v>
      </c>
      <c r="Q20" s="38">
        <f>P20-P20*6/(6*7/2)</f>
        <v>-11948.051948051974</v>
      </c>
      <c r="R20" s="38">
        <f>Q20-R24</f>
        <v>-71183.041396824614</v>
      </c>
      <c r="S20" s="38">
        <f>R20-R20*5/(5*6/2)</f>
        <v>-47455.360931216404</v>
      </c>
      <c r="T20" s="38">
        <v>0</v>
      </c>
    </row>
    <row r="21" spans="1:20" x14ac:dyDescent="0.2">
      <c r="A21" s="1" t="s">
        <v>1418</v>
      </c>
      <c r="I21" s="1" t="s">
        <v>99</v>
      </c>
      <c r="J21" s="39">
        <f>J18</f>
        <v>400000</v>
      </c>
      <c r="K21" s="39">
        <f>K18+K19</f>
        <v>327272.72727272729</v>
      </c>
      <c r="L21" s="39">
        <f>L18+L19+L20</f>
        <v>261818.18181818182</v>
      </c>
      <c r="M21" s="39">
        <f>M18+M19+M20</f>
        <v>203636.36363636365</v>
      </c>
      <c r="N21" s="39">
        <f>MAX(150000*(1-20%),ABS(PV(10%,7,30000)))</f>
        <v>146052.56453078805</v>
      </c>
      <c r="O21" s="39">
        <f>O18+O19+O20</f>
        <v>109539.42339809106</v>
      </c>
      <c r="P21" s="39">
        <f>MAX(170000*(1-20%),ABS(PV(10%,6,15000)))</f>
        <v>136000</v>
      </c>
      <c r="Q21" s="39">
        <f>Q18+Q19+Q20</f>
        <v>97142.857142857145</v>
      </c>
      <c r="R21" s="39">
        <f>ABS(PV(10%,5,10000))</f>
        <v>37907.867694084503</v>
      </c>
      <c r="S21" s="39">
        <f>S18+S19+S20</f>
        <v>25271.91179605636</v>
      </c>
      <c r="T21" s="39">
        <f>T18+T19+T20</f>
        <v>72727.272727272764</v>
      </c>
    </row>
    <row r="22" spans="1:20" x14ac:dyDescent="0.2">
      <c r="A22" s="1" t="s">
        <v>1419</v>
      </c>
      <c r="J22" s="19"/>
      <c r="K22" s="19"/>
      <c r="L22" s="19"/>
      <c r="M22" s="19"/>
      <c r="N22" s="19"/>
      <c r="O22" s="19"/>
      <c r="P22" s="19"/>
      <c r="Q22" s="19"/>
      <c r="R22" s="19"/>
      <c r="S22" s="19"/>
      <c r="T22" s="19"/>
    </row>
    <row r="23" spans="1:20" x14ac:dyDescent="0.2">
      <c r="A23" s="1" t="s">
        <v>1420</v>
      </c>
      <c r="I23" s="1" t="s">
        <v>1653</v>
      </c>
      <c r="J23" s="19"/>
      <c r="K23" s="38">
        <f>J18*10/(10*11/2)</f>
        <v>72727.272727272721</v>
      </c>
      <c r="L23" s="38">
        <f>J18*9/(10*11/2)</f>
        <v>65454.545454545456</v>
      </c>
      <c r="M23" s="38">
        <f>J18*8/(10*11/2)</f>
        <v>58181.818181818184</v>
      </c>
      <c r="N23" s="38">
        <f>M23</f>
        <v>58181.818181818184</v>
      </c>
      <c r="O23" s="38">
        <f>N21*7/(7*8/2)</f>
        <v>36513.141132697012</v>
      </c>
      <c r="P23" s="38">
        <f>O23</f>
        <v>36513.141132697012</v>
      </c>
      <c r="Q23" s="38">
        <f>P21*6/(6*7/2)</f>
        <v>38857.142857142855</v>
      </c>
      <c r="R23" s="38">
        <f>Q23</f>
        <v>38857.142857142855</v>
      </c>
      <c r="S23" s="38">
        <f>R21*5/(5*6/2)</f>
        <v>12635.955898028167</v>
      </c>
      <c r="T23" s="38">
        <f>S23</f>
        <v>12635.955898028167</v>
      </c>
    </row>
    <row r="24" spans="1:20" x14ac:dyDescent="0.2">
      <c r="A24" s="1" t="s">
        <v>1421</v>
      </c>
      <c r="I24" s="1" t="s">
        <v>1654</v>
      </c>
      <c r="J24" s="19"/>
      <c r="K24" s="19"/>
      <c r="L24" s="19"/>
      <c r="M24" s="19"/>
      <c r="N24" s="38">
        <f>M21-N21</f>
        <v>57583.799105575599</v>
      </c>
      <c r="O24" s="19"/>
      <c r="P24" s="38"/>
      <c r="Q24" s="38"/>
      <c r="R24" s="38">
        <f>Q21-R21</f>
        <v>59234.989448772641</v>
      </c>
      <c r="S24" s="38"/>
      <c r="T24" s="38"/>
    </row>
    <row r="25" spans="1:20" x14ac:dyDescent="0.2">
      <c r="A25" s="1" t="s">
        <v>1422</v>
      </c>
      <c r="I25" s="1" t="s">
        <v>892</v>
      </c>
      <c r="N25" s="19"/>
      <c r="O25" s="19"/>
      <c r="P25" s="38">
        <f>P21-O21</f>
        <v>26460.576601908935</v>
      </c>
      <c r="Q25" s="38"/>
      <c r="R25" s="38"/>
      <c r="S25" s="38"/>
      <c r="T25" s="38">
        <f>-S20</f>
        <v>47455.360931216404</v>
      </c>
    </row>
    <row r="26" spans="1:20" x14ac:dyDescent="0.2">
      <c r="A26" s="1" t="s">
        <v>1423</v>
      </c>
      <c r="N26" s="19"/>
      <c r="O26" s="19"/>
      <c r="P26" s="19"/>
      <c r="Q26" s="19"/>
      <c r="R26" s="19"/>
      <c r="S26" s="19"/>
      <c r="T26" s="19"/>
    </row>
    <row r="27" spans="1:20" x14ac:dyDescent="0.2">
      <c r="A27" s="1" t="s">
        <v>1424</v>
      </c>
      <c r="I27" s="1" t="s">
        <v>1655</v>
      </c>
      <c r="K27" s="21">
        <f>K30</f>
        <v>3896.1038961038867</v>
      </c>
      <c r="L27" s="21">
        <f>L38-K38</f>
        <v>2077.9220779220923</v>
      </c>
      <c r="M27" s="21"/>
      <c r="N27" s="21">
        <f>N38-L38</f>
        <v>14655.690036134154</v>
      </c>
      <c r="O27" s="21"/>
      <c r="P27" s="19"/>
      <c r="Q27" s="19"/>
      <c r="R27" s="21">
        <f>R30-P30</f>
        <v>10237.318790764592</v>
      </c>
      <c r="S27" s="19"/>
      <c r="T27" s="19"/>
    </row>
    <row r="28" spans="1:20" x14ac:dyDescent="0.2">
      <c r="A28" s="1" t="s">
        <v>1425</v>
      </c>
      <c r="I28" s="1" t="s">
        <v>1656</v>
      </c>
      <c r="N28" s="19"/>
      <c r="O28" s="19"/>
      <c r="P28" s="21">
        <f>N30-P30</f>
        <v>11772.573153017278</v>
      </c>
      <c r="Q28" s="21"/>
      <c r="R28" s="21"/>
      <c r="S28" s="21"/>
      <c r="T28" s="21">
        <f>R30+T31</f>
        <v>22990.565544011351</v>
      </c>
    </row>
    <row r="29" spans="1:20" x14ac:dyDescent="0.2">
      <c r="A29" s="1" t="s">
        <v>1426</v>
      </c>
      <c r="N29" s="19"/>
      <c r="O29" s="19"/>
      <c r="P29" s="19"/>
      <c r="Q29" s="19"/>
      <c r="R29" s="19"/>
      <c r="S29" s="19"/>
      <c r="T29" s="19"/>
    </row>
    <row r="30" spans="1:20" x14ac:dyDescent="0.2">
      <c r="A30" s="1" t="s">
        <v>1427</v>
      </c>
      <c r="I30" s="1" t="s">
        <v>1468</v>
      </c>
      <c r="K30" s="21">
        <f>K38</f>
        <v>3896.1038961038867</v>
      </c>
      <c r="L30" s="21">
        <f>L38</f>
        <v>5974.0259740259789</v>
      </c>
      <c r="M30" s="21"/>
      <c r="N30" s="21">
        <f>N38</f>
        <v>20629.716010160133</v>
      </c>
      <c r="O30" s="21"/>
      <c r="P30" s="21">
        <f>P38</f>
        <v>8857.1428571428551</v>
      </c>
      <c r="Q30" s="21"/>
      <c r="R30" s="21">
        <f>R38</f>
        <v>19094.461647907447</v>
      </c>
      <c r="S30" s="21"/>
      <c r="T30" s="21"/>
    </row>
    <row r="31" spans="1:20" x14ac:dyDescent="0.2">
      <c r="A31" s="1" t="s">
        <v>1428</v>
      </c>
      <c r="I31" s="1" t="s">
        <v>1657</v>
      </c>
      <c r="T31" s="21">
        <f>-T39</f>
        <v>3896.1038961039048</v>
      </c>
    </row>
    <row r="32" spans="1:20" x14ac:dyDescent="0.2">
      <c r="A32" s="1" t="s">
        <v>1429</v>
      </c>
    </row>
    <row r="33" spans="1:20" x14ac:dyDescent="0.2">
      <c r="A33" s="1" t="s">
        <v>1430</v>
      </c>
      <c r="I33" s="1" t="s">
        <v>1658</v>
      </c>
      <c r="J33" s="36">
        <v>44197</v>
      </c>
      <c r="K33" s="36">
        <v>44561</v>
      </c>
      <c r="L33" s="36">
        <v>44926</v>
      </c>
      <c r="M33" s="36"/>
      <c r="N33" s="36">
        <v>45291</v>
      </c>
      <c r="O33" s="36"/>
      <c r="P33" s="36">
        <v>45657</v>
      </c>
      <c r="Q33" s="36"/>
      <c r="R33" s="36">
        <v>46022</v>
      </c>
      <c r="S33" s="36"/>
      <c r="T33" s="36">
        <v>46387</v>
      </c>
    </row>
    <row r="34" spans="1:20" x14ac:dyDescent="0.2">
      <c r="A34" s="1" t="s">
        <v>1431</v>
      </c>
      <c r="I34" s="1" t="s">
        <v>99</v>
      </c>
      <c r="J34" s="21">
        <f>J21</f>
        <v>400000</v>
      </c>
      <c r="K34" s="21">
        <f>K21</f>
        <v>327272.72727272729</v>
      </c>
      <c r="L34" s="21">
        <f>L21</f>
        <v>261818.18181818182</v>
      </c>
      <c r="M34" s="21"/>
      <c r="N34" s="21">
        <f>N21</f>
        <v>146052.56453078805</v>
      </c>
      <c r="O34" s="21"/>
      <c r="P34" s="21">
        <f>P21</f>
        <v>136000</v>
      </c>
      <c r="Q34" s="21"/>
      <c r="R34" s="21">
        <f>R21</f>
        <v>37907.867694084503</v>
      </c>
      <c r="S34" s="21"/>
      <c r="T34" s="21">
        <f>T21</f>
        <v>72727.272727272764</v>
      </c>
    </row>
    <row r="35" spans="1:20" x14ac:dyDescent="0.2">
      <c r="A35" s="1" t="s">
        <v>1432</v>
      </c>
      <c r="I35" s="1" t="s">
        <v>1054</v>
      </c>
      <c r="J35" s="21">
        <f>J34</f>
        <v>400000</v>
      </c>
      <c r="K35" s="21">
        <f>400000*6/7</f>
        <v>342857.14285714284</v>
      </c>
      <c r="L35" s="21">
        <f>400000*5/7</f>
        <v>285714.28571428574</v>
      </c>
      <c r="M35" s="21"/>
      <c r="N35" s="21">
        <f>400000*4/7</f>
        <v>228571.42857142858</v>
      </c>
      <c r="O35" s="21"/>
      <c r="P35" s="21">
        <f>400000*3/7</f>
        <v>171428.57142857142</v>
      </c>
      <c r="Q35" s="21"/>
      <c r="R35" s="21">
        <f>400000*2/7</f>
        <v>114285.71428571429</v>
      </c>
      <c r="S35" s="21"/>
      <c r="T35" s="21">
        <f>400000*1/7</f>
        <v>57142.857142857145</v>
      </c>
    </row>
    <row r="36" spans="1:20" x14ac:dyDescent="0.2">
      <c r="A36" s="1" t="s">
        <v>1433</v>
      </c>
      <c r="I36" s="1" t="s">
        <v>1659</v>
      </c>
      <c r="J36" s="21">
        <f>J34-J35</f>
        <v>0</v>
      </c>
      <c r="K36" s="21">
        <f>K34-K35</f>
        <v>-15584.415584415547</v>
      </c>
      <c r="L36" s="21">
        <f>L34-L35</f>
        <v>-23896.103896103916</v>
      </c>
      <c r="M36" s="21"/>
      <c r="N36" s="21">
        <f>N34-N35</f>
        <v>-82518.864040640532</v>
      </c>
      <c r="O36" s="21"/>
      <c r="P36" s="21">
        <f>P34-P35</f>
        <v>-35428.57142857142</v>
      </c>
      <c r="Q36" s="21"/>
      <c r="R36" s="21">
        <f>R34-R35</f>
        <v>-76377.846591629786</v>
      </c>
      <c r="S36" s="21"/>
      <c r="T36" s="21">
        <f>T34-T35</f>
        <v>15584.415584415619</v>
      </c>
    </row>
    <row r="37" spans="1:20" ht="17" thickBot="1" x14ac:dyDescent="0.25">
      <c r="I37" s="1" t="s">
        <v>1056</v>
      </c>
      <c r="J37" s="183">
        <v>0.25</v>
      </c>
      <c r="K37" s="183">
        <v>0.25</v>
      </c>
      <c r="L37" s="183">
        <v>0.25</v>
      </c>
      <c r="M37" s="183"/>
      <c r="N37" s="183">
        <v>0.25</v>
      </c>
      <c r="O37" s="183"/>
      <c r="P37" s="183">
        <v>0.25</v>
      </c>
      <c r="Q37" s="183"/>
      <c r="R37" s="183">
        <v>0.25</v>
      </c>
      <c r="S37" s="183"/>
      <c r="T37" s="183">
        <v>0.25</v>
      </c>
    </row>
    <row r="38" spans="1:20" ht="17" thickBot="1" x14ac:dyDescent="0.25">
      <c r="A38" s="16" t="s">
        <v>1434</v>
      </c>
      <c r="B38" s="33"/>
      <c r="C38" s="33"/>
      <c r="D38" s="33"/>
      <c r="E38" s="33"/>
      <c r="F38" s="33"/>
      <c r="G38" s="33"/>
      <c r="H38" s="34"/>
      <c r="I38" s="1" t="s">
        <v>1468</v>
      </c>
      <c r="J38" s="21">
        <v>0</v>
      </c>
      <c r="K38" s="21">
        <f>-K37*K36</f>
        <v>3896.1038961038867</v>
      </c>
      <c r="L38" s="21">
        <f>-L37*L36</f>
        <v>5974.0259740259789</v>
      </c>
      <c r="M38" s="21"/>
      <c r="N38" s="21">
        <f>-N37*N36</f>
        <v>20629.716010160133</v>
      </c>
      <c r="O38" s="21"/>
      <c r="P38" s="21">
        <f>-P37*P36</f>
        <v>8857.1428571428551</v>
      </c>
      <c r="Q38" s="21"/>
      <c r="R38" s="21">
        <f>-R37*R36</f>
        <v>19094.461647907447</v>
      </c>
      <c r="S38" s="21"/>
    </row>
    <row r="39" spans="1:20" x14ac:dyDescent="0.2">
      <c r="I39" s="1" t="s">
        <v>1489</v>
      </c>
      <c r="T39" s="21">
        <f>-T37*T36</f>
        <v>-3896.1038961039048</v>
      </c>
    </row>
    <row r="40" spans="1:20" x14ac:dyDescent="0.2">
      <c r="A40" s="218" t="s">
        <v>1435</v>
      </c>
      <c r="B40" s="218"/>
      <c r="C40" s="218"/>
      <c r="D40" s="218"/>
      <c r="E40" s="218"/>
      <c r="F40" s="218"/>
      <c r="G40" s="218"/>
      <c r="H40" s="218"/>
    </row>
    <row r="42" spans="1:20" x14ac:dyDescent="0.2">
      <c r="A42" s="3" t="s">
        <v>1244</v>
      </c>
      <c r="B42" s="3" t="s">
        <v>1436</v>
      </c>
      <c r="C42" s="41"/>
      <c r="D42" s="41"/>
      <c r="E42" s="41"/>
      <c r="F42" s="41"/>
      <c r="G42" s="41"/>
      <c r="H42" s="41"/>
    </row>
    <row r="43" spans="1:20" x14ac:dyDescent="0.2">
      <c r="A43" s="2" t="s">
        <v>1437</v>
      </c>
    </row>
    <row r="45" spans="1:20" x14ac:dyDescent="0.2">
      <c r="A45" s="1" t="s">
        <v>1438</v>
      </c>
    </row>
    <row r="46" spans="1:20" x14ac:dyDescent="0.2">
      <c r="A46" s="1" t="s">
        <v>1439</v>
      </c>
    </row>
    <row r="48" spans="1:20" x14ac:dyDescent="0.2">
      <c r="A48" s="2" t="s">
        <v>1440</v>
      </c>
    </row>
    <row r="49" spans="1:8" x14ac:dyDescent="0.2">
      <c r="D49" s="1" t="s">
        <v>1441</v>
      </c>
      <c r="E49" s="19">
        <v>10</v>
      </c>
      <c r="F49" s="1" t="s">
        <v>1442</v>
      </c>
    </row>
    <row r="50" spans="1:8" x14ac:dyDescent="0.2">
      <c r="D50" s="1" t="s">
        <v>1443</v>
      </c>
      <c r="E50" s="221">
        <f>10*11/2</f>
        <v>55</v>
      </c>
      <c r="F50" s="1" t="s">
        <v>1444</v>
      </c>
      <c r="H50" s="1" t="s">
        <v>1445</v>
      </c>
    </row>
    <row r="52" spans="1:8" x14ac:dyDescent="0.2">
      <c r="A52" s="2" t="s">
        <v>1446</v>
      </c>
    </row>
    <row r="53" spans="1:8" x14ac:dyDescent="0.2">
      <c r="D53" s="21">
        <f>400000*10/55</f>
        <v>72727.272727272721</v>
      </c>
      <c r="F53" s="1" t="s">
        <v>1447</v>
      </c>
    </row>
    <row r="54" spans="1:8" x14ac:dyDescent="0.2">
      <c r="D54" s="21"/>
    </row>
    <row r="55" spans="1:8" x14ac:dyDescent="0.2">
      <c r="A55" s="2" t="s">
        <v>1448</v>
      </c>
      <c r="D55" s="21"/>
    </row>
    <row r="56" spans="1:8" x14ac:dyDescent="0.2">
      <c r="D56" s="21"/>
      <c r="E56" s="19"/>
      <c r="F56" s="19"/>
      <c r="G56" s="19"/>
      <c r="H56" s="19" t="s">
        <v>1449</v>
      </c>
    </row>
    <row r="57" spans="1:8" ht="17" thickBot="1" x14ac:dyDescent="0.25">
      <c r="D57" s="21"/>
      <c r="E57" s="56">
        <v>45291</v>
      </c>
      <c r="F57" s="56">
        <v>44926</v>
      </c>
      <c r="G57" s="56">
        <v>44561</v>
      </c>
      <c r="H57" s="56">
        <v>44197</v>
      </c>
    </row>
    <row r="58" spans="1:8" ht="17" thickBot="1" x14ac:dyDescent="0.25">
      <c r="D58" s="21"/>
      <c r="G58" s="222">
        <v>10</v>
      </c>
      <c r="H58" s="223"/>
    </row>
    <row r="59" spans="1:8" x14ac:dyDescent="0.2">
      <c r="D59" s="21"/>
      <c r="F59" s="224">
        <v>9</v>
      </c>
      <c r="G59" s="224"/>
    </row>
    <row r="60" spans="1:8" x14ac:dyDescent="0.2">
      <c r="D60" s="21"/>
      <c r="E60" s="224">
        <v>8</v>
      </c>
      <c r="F60" s="224"/>
    </row>
    <row r="61" spans="1:8" x14ac:dyDescent="0.2">
      <c r="D61" s="21"/>
    </row>
    <row r="62" spans="1:8" x14ac:dyDescent="0.2">
      <c r="A62" s="1" t="s">
        <v>1450</v>
      </c>
      <c r="D62" s="21"/>
    </row>
    <row r="63" spans="1:8" x14ac:dyDescent="0.2">
      <c r="A63" s="1" t="s">
        <v>1451</v>
      </c>
      <c r="D63" s="21"/>
    </row>
    <row r="65" spans="1:8" ht="17" thickBot="1" x14ac:dyDescent="0.25">
      <c r="A65" s="2" t="s">
        <v>1452</v>
      </c>
    </row>
    <row r="66" spans="1:8" x14ac:dyDescent="0.2">
      <c r="B66" s="4"/>
      <c r="C66" s="5"/>
      <c r="D66" s="184">
        <v>44561</v>
      </c>
    </row>
    <row r="67" spans="1:8" x14ac:dyDescent="0.2">
      <c r="B67" s="7" t="s">
        <v>95</v>
      </c>
      <c r="D67" s="225">
        <v>400000</v>
      </c>
    </row>
    <row r="68" spans="1:8" x14ac:dyDescent="0.2">
      <c r="B68" s="7" t="s">
        <v>1453</v>
      </c>
      <c r="D68" s="185">
        <f>-D53</f>
        <v>-72727.272727272721</v>
      </c>
    </row>
    <row r="69" spans="1:8" x14ac:dyDescent="0.2">
      <c r="B69" s="7" t="s">
        <v>718</v>
      </c>
      <c r="D69" s="226">
        <v>0</v>
      </c>
      <c r="F69" s="35"/>
      <c r="H69" s="35"/>
    </row>
    <row r="70" spans="1:8" x14ac:dyDescent="0.2">
      <c r="B70" s="7" t="s">
        <v>99</v>
      </c>
      <c r="D70" s="227">
        <f>D67+D68+D69</f>
        <v>327272.72727272729</v>
      </c>
      <c r="F70" s="23"/>
      <c r="H70" s="23"/>
    </row>
    <row r="71" spans="1:8" x14ac:dyDescent="0.2">
      <c r="B71" s="7"/>
      <c r="D71" s="9"/>
      <c r="F71" s="23"/>
      <c r="H71" s="23"/>
    </row>
    <row r="72" spans="1:8" x14ac:dyDescent="0.2">
      <c r="B72" s="7" t="s">
        <v>100</v>
      </c>
      <c r="D72" s="185">
        <f>D53</f>
        <v>72727.272727272721</v>
      </c>
      <c r="H72" s="23"/>
    </row>
    <row r="73" spans="1:8" x14ac:dyDescent="0.2">
      <c r="B73" s="7"/>
      <c r="D73" s="9"/>
      <c r="H73" s="24"/>
    </row>
    <row r="74" spans="1:8" x14ac:dyDescent="0.2">
      <c r="B74" s="7" t="s">
        <v>1454</v>
      </c>
      <c r="D74" s="185">
        <f>F94</f>
        <v>3896.1038961038867</v>
      </c>
      <c r="H74" s="23"/>
    </row>
    <row r="75" spans="1:8" x14ac:dyDescent="0.2">
      <c r="B75" s="7" t="s">
        <v>1455</v>
      </c>
      <c r="D75" s="226">
        <v>0</v>
      </c>
    </row>
    <row r="76" spans="1:8" x14ac:dyDescent="0.2">
      <c r="B76" s="7" t="s">
        <v>1362</v>
      </c>
      <c r="D76" s="185">
        <f>F94</f>
        <v>3896.1038961038867</v>
      </c>
    </row>
    <row r="77" spans="1:8" ht="17" thickBot="1" x14ac:dyDescent="0.25">
      <c r="B77" s="10" t="s">
        <v>1364</v>
      </c>
      <c r="C77" s="11"/>
      <c r="D77" s="228">
        <v>0</v>
      </c>
    </row>
    <row r="79" spans="1:8" x14ac:dyDescent="0.2">
      <c r="A79" s="2" t="s">
        <v>1456</v>
      </c>
    </row>
    <row r="80" spans="1:8" x14ac:dyDescent="0.2">
      <c r="A80" s="1" t="s">
        <v>95</v>
      </c>
      <c r="C80" s="23">
        <v>400000</v>
      </c>
      <c r="D80" s="1" t="s">
        <v>1457</v>
      </c>
    </row>
    <row r="81" spans="1:6" x14ac:dyDescent="0.2">
      <c r="A81" s="1" t="s">
        <v>1458</v>
      </c>
      <c r="C81" s="1">
        <v>7</v>
      </c>
      <c r="D81" s="1" t="s">
        <v>1459</v>
      </c>
    </row>
    <row r="82" spans="1:6" x14ac:dyDescent="0.2">
      <c r="A82" s="1" t="s">
        <v>1460</v>
      </c>
      <c r="C82" s="1" t="s">
        <v>505</v>
      </c>
    </row>
    <row r="84" spans="1:6" x14ac:dyDescent="0.2">
      <c r="A84" s="2" t="s">
        <v>1461</v>
      </c>
    </row>
    <row r="85" spans="1:6" x14ac:dyDescent="0.2">
      <c r="B85" s="1" t="s">
        <v>95</v>
      </c>
      <c r="D85" s="21">
        <v>400000</v>
      </c>
    </row>
    <row r="86" spans="1:6" x14ac:dyDescent="0.2">
      <c r="B86" s="1" t="s">
        <v>1453</v>
      </c>
      <c r="D86" s="21">
        <f>-400000/7</f>
        <v>-57142.857142857145</v>
      </c>
      <c r="F86" s="1" t="s">
        <v>1462</v>
      </c>
    </row>
    <row r="87" spans="1:6" x14ac:dyDescent="0.2">
      <c r="B87" s="1" t="s">
        <v>1463</v>
      </c>
      <c r="D87" s="39">
        <f>D85+D86</f>
        <v>342857.14285714284</v>
      </c>
    </row>
    <row r="89" spans="1:6" x14ac:dyDescent="0.2">
      <c r="C89" s="40" t="s">
        <v>1464</v>
      </c>
      <c r="D89" s="40"/>
      <c r="E89" s="40"/>
      <c r="F89" s="40" t="s">
        <v>1465</v>
      </c>
    </row>
    <row r="90" spans="1:6" x14ac:dyDescent="0.2">
      <c r="B90" s="1" t="s">
        <v>99</v>
      </c>
      <c r="C90" s="21">
        <v>400000</v>
      </c>
      <c r="D90" s="19"/>
      <c r="E90" s="1" t="s">
        <v>99</v>
      </c>
      <c r="F90" s="21">
        <f>D70</f>
        <v>327272.72727272729</v>
      </c>
    </row>
    <row r="91" spans="1:6" x14ac:dyDescent="0.2">
      <c r="B91" s="1" t="s">
        <v>1054</v>
      </c>
      <c r="C91" s="21">
        <v>400000</v>
      </c>
      <c r="D91" s="19"/>
      <c r="E91" s="1" t="s">
        <v>1054</v>
      </c>
      <c r="F91" s="21">
        <f>D87</f>
        <v>342857.14285714284</v>
      </c>
    </row>
    <row r="92" spans="1:6" x14ac:dyDescent="0.2">
      <c r="B92" s="1" t="s">
        <v>1466</v>
      </c>
      <c r="C92" s="22">
        <f>C91-C90</f>
        <v>0</v>
      </c>
      <c r="E92" s="1" t="s">
        <v>1467</v>
      </c>
      <c r="F92" s="22">
        <f>F91-F90</f>
        <v>15584.415584415547</v>
      </c>
    </row>
    <row r="93" spans="1:6" x14ac:dyDescent="0.2">
      <c r="B93" s="1" t="s">
        <v>1056</v>
      </c>
      <c r="C93" s="183">
        <v>0.25</v>
      </c>
      <c r="D93" s="19"/>
      <c r="E93" s="1" t="s">
        <v>1056</v>
      </c>
      <c r="F93" s="183">
        <v>0.25</v>
      </c>
    </row>
    <row r="94" spans="1:6" x14ac:dyDescent="0.2">
      <c r="B94" s="1" t="s">
        <v>1468</v>
      </c>
      <c r="C94" s="229">
        <f>C92*C93</f>
        <v>0</v>
      </c>
      <c r="E94" s="1" t="s">
        <v>1468</v>
      </c>
      <c r="F94" s="22">
        <f>F92*F93</f>
        <v>3896.1038961038867</v>
      </c>
    </row>
    <row r="96" spans="1:6" x14ac:dyDescent="0.2">
      <c r="A96" s="2" t="s">
        <v>1469</v>
      </c>
    </row>
    <row r="97" spans="1:8" x14ac:dyDescent="0.2">
      <c r="A97" s="1" t="s">
        <v>1470</v>
      </c>
    </row>
    <row r="98" spans="1:8" x14ac:dyDescent="0.2">
      <c r="A98" s="1" t="s">
        <v>1471</v>
      </c>
    </row>
    <row r="99" spans="1:8" x14ac:dyDescent="0.2">
      <c r="A99" s="1" t="s">
        <v>1472</v>
      </c>
    </row>
    <row r="101" spans="1:8" x14ac:dyDescent="0.2">
      <c r="A101" s="1" t="s">
        <v>1473</v>
      </c>
    </row>
    <row r="102" spans="1:8" x14ac:dyDescent="0.2">
      <c r="A102" s="1" t="s">
        <v>1474</v>
      </c>
    </row>
    <row r="104" spans="1:8" x14ac:dyDescent="0.2">
      <c r="A104" s="1" t="s">
        <v>1475</v>
      </c>
    </row>
    <row r="105" spans="1:8" x14ac:dyDescent="0.2">
      <c r="A105" s="1" t="s">
        <v>1476</v>
      </c>
    </row>
    <row r="106" spans="1:8" x14ac:dyDescent="0.2">
      <c r="A106" s="1" t="s">
        <v>1477</v>
      </c>
    </row>
    <row r="107" spans="1:8" ht="17" thickBot="1" x14ac:dyDescent="0.25"/>
    <row r="108" spans="1:8" x14ac:dyDescent="0.2">
      <c r="A108" s="4" t="s">
        <v>1478</v>
      </c>
      <c r="B108" s="5"/>
      <c r="C108" s="5"/>
      <c r="D108" s="5"/>
      <c r="E108" s="5"/>
      <c r="F108" s="5"/>
      <c r="G108" s="5"/>
      <c r="H108" s="6"/>
    </row>
    <row r="109" spans="1:8" x14ac:dyDescent="0.2">
      <c r="A109" s="7" t="s">
        <v>1479</v>
      </c>
      <c r="H109" s="9"/>
    </row>
    <row r="110" spans="1:8" ht="17" thickBot="1" x14ac:dyDescent="0.25">
      <c r="A110" s="10" t="s">
        <v>1480</v>
      </c>
      <c r="B110" s="11"/>
      <c r="C110" s="11"/>
      <c r="D110" s="11"/>
      <c r="E110" s="11"/>
      <c r="F110" s="11"/>
      <c r="G110" s="11"/>
      <c r="H110" s="12"/>
    </row>
    <row r="112" spans="1:8" x14ac:dyDescent="0.2">
      <c r="A112" s="1" t="s">
        <v>1481</v>
      </c>
    </row>
    <row r="113" spans="1:9" x14ac:dyDescent="0.2">
      <c r="B113" s="1" t="s">
        <v>1482</v>
      </c>
    </row>
    <row r="114" spans="1:9" x14ac:dyDescent="0.2">
      <c r="B114" s="1" t="s">
        <v>1483</v>
      </c>
    </row>
    <row r="116" spans="1:9" x14ac:dyDescent="0.2">
      <c r="A116" s="1" t="s">
        <v>1484</v>
      </c>
    </row>
    <row r="118" spans="1:9" x14ac:dyDescent="0.2">
      <c r="A118" s="3" t="s">
        <v>1248</v>
      </c>
      <c r="B118" s="3" t="s">
        <v>1436</v>
      </c>
      <c r="C118" s="41"/>
      <c r="D118" s="41"/>
      <c r="E118" s="41"/>
      <c r="F118" s="41"/>
      <c r="G118" s="41"/>
      <c r="H118" s="41"/>
    </row>
    <row r="119" spans="1:9" ht="17" thickBot="1" x14ac:dyDescent="0.25"/>
    <row r="120" spans="1:9" x14ac:dyDescent="0.2">
      <c r="B120" s="4"/>
      <c r="C120" s="5"/>
      <c r="D120" s="184">
        <v>44561</v>
      </c>
      <c r="E120" s="184">
        <v>44926</v>
      </c>
    </row>
    <row r="121" spans="1:9" x14ac:dyDescent="0.2">
      <c r="B121" s="7" t="s">
        <v>95</v>
      </c>
      <c r="D121" s="225">
        <v>400000</v>
      </c>
      <c r="E121" s="225">
        <v>400000</v>
      </c>
    </row>
    <row r="122" spans="1:9" x14ac:dyDescent="0.2">
      <c r="B122" s="7" t="s">
        <v>1453</v>
      </c>
      <c r="D122" s="185">
        <v>-72727.272727272721</v>
      </c>
      <c r="E122" s="230">
        <f>D122-E126</f>
        <v>-138181.81818181818</v>
      </c>
    </row>
    <row r="123" spans="1:9" x14ac:dyDescent="0.2">
      <c r="B123" s="7" t="s">
        <v>718</v>
      </c>
      <c r="D123" s="226">
        <v>0</v>
      </c>
      <c r="E123" s="231">
        <v>0</v>
      </c>
    </row>
    <row r="124" spans="1:9" x14ac:dyDescent="0.2">
      <c r="B124" s="7" t="s">
        <v>99</v>
      </c>
      <c r="D124" s="227">
        <v>327272.72727272729</v>
      </c>
      <c r="E124" s="232">
        <f>E121+E122+E123</f>
        <v>261818.18181818182</v>
      </c>
    </row>
    <row r="125" spans="1:9" x14ac:dyDescent="0.2">
      <c r="B125" s="7"/>
      <c r="D125" s="9"/>
      <c r="E125" s="9"/>
      <c r="G125" s="1" t="s">
        <v>1485</v>
      </c>
    </row>
    <row r="126" spans="1:9" x14ac:dyDescent="0.2">
      <c r="B126" s="7" t="s">
        <v>100</v>
      </c>
      <c r="D126" s="185">
        <v>72727.272727272721</v>
      </c>
      <c r="E126" s="185">
        <f>400000*9/55</f>
        <v>65454.545454545456</v>
      </c>
      <c r="H126" s="1" t="s">
        <v>1486</v>
      </c>
    </row>
    <row r="127" spans="1:9" x14ac:dyDescent="0.2">
      <c r="B127" s="7"/>
      <c r="D127" s="9"/>
      <c r="E127" s="9"/>
    </row>
    <row r="128" spans="1:9" x14ac:dyDescent="0.2">
      <c r="B128" s="7" t="s">
        <v>1454</v>
      </c>
      <c r="D128" s="185">
        <v>3896.1038961038867</v>
      </c>
      <c r="E128" s="230">
        <f>E143</f>
        <v>5974.0259740259644</v>
      </c>
      <c r="G128" s="1" t="s">
        <v>1487</v>
      </c>
      <c r="I128" s="1" t="s">
        <v>1488</v>
      </c>
    </row>
    <row r="129" spans="1:8" x14ac:dyDescent="0.2">
      <c r="B129" s="7" t="s">
        <v>1489</v>
      </c>
      <c r="D129" s="226">
        <v>0</v>
      </c>
      <c r="E129" s="231">
        <v>0</v>
      </c>
    </row>
    <row r="130" spans="1:8" x14ac:dyDescent="0.2">
      <c r="B130" s="7" t="s">
        <v>1362</v>
      </c>
      <c r="D130" s="185">
        <v>3896.1038961038867</v>
      </c>
      <c r="E130" s="230">
        <f>E143-C143</f>
        <v>2077.9220779220777</v>
      </c>
      <c r="H130" s="1" t="s">
        <v>1490</v>
      </c>
    </row>
    <row r="131" spans="1:8" ht="17" thickBot="1" x14ac:dyDescent="0.25">
      <c r="B131" s="10" t="s">
        <v>1364</v>
      </c>
      <c r="C131" s="11"/>
      <c r="D131" s="12"/>
      <c r="E131" s="233"/>
    </row>
    <row r="133" spans="1:8" x14ac:dyDescent="0.2">
      <c r="A133" s="2" t="s">
        <v>1461</v>
      </c>
    </row>
    <row r="134" spans="1:8" x14ac:dyDescent="0.2">
      <c r="B134" s="1" t="s">
        <v>95</v>
      </c>
      <c r="D134" s="21">
        <v>400000</v>
      </c>
    </row>
    <row r="135" spans="1:8" x14ac:dyDescent="0.2">
      <c r="B135" s="1" t="s">
        <v>1453</v>
      </c>
      <c r="D135" s="21">
        <f>-400000/7*2</f>
        <v>-114285.71428571429</v>
      </c>
      <c r="F135" s="1" t="s">
        <v>1491</v>
      </c>
    </row>
    <row r="136" spans="1:8" x14ac:dyDescent="0.2">
      <c r="B136" s="1" t="s">
        <v>1463</v>
      </c>
      <c r="D136" s="39">
        <f>D134+D135</f>
        <v>285714.28571428568</v>
      </c>
      <c r="F136" s="1" t="s">
        <v>1492</v>
      </c>
    </row>
    <row r="138" spans="1:8" x14ac:dyDescent="0.2">
      <c r="B138" s="40"/>
      <c r="C138" s="40" t="s">
        <v>1465</v>
      </c>
      <c r="D138" s="40"/>
      <c r="E138" s="234" t="s">
        <v>1493</v>
      </c>
      <c r="F138" s="105"/>
      <c r="G138" s="105" t="s">
        <v>1494</v>
      </c>
    </row>
    <row r="139" spans="1:8" x14ac:dyDescent="0.2">
      <c r="B139" s="1" t="s">
        <v>99</v>
      </c>
      <c r="C139" s="21">
        <v>327272.72727272729</v>
      </c>
      <c r="D139" s="19"/>
      <c r="E139" s="235">
        <f>E124</f>
        <v>261818.18181818182</v>
      </c>
      <c r="F139" s="105"/>
      <c r="G139" s="105" t="s">
        <v>1339</v>
      </c>
    </row>
    <row r="140" spans="1:8" x14ac:dyDescent="0.2">
      <c r="B140" s="1" t="s">
        <v>1054</v>
      </c>
      <c r="C140" s="21">
        <v>342857.14285714284</v>
      </c>
      <c r="D140" s="19"/>
      <c r="E140" s="235">
        <f>D136</f>
        <v>285714.28571428568</v>
      </c>
      <c r="F140" s="105"/>
      <c r="G140" s="105"/>
    </row>
    <row r="141" spans="1:8" x14ac:dyDescent="0.2">
      <c r="B141" s="1" t="s">
        <v>1467</v>
      </c>
      <c r="C141" s="22">
        <v>15584.415584415547</v>
      </c>
      <c r="D141" s="47"/>
      <c r="E141" s="236">
        <f>E140-E139</f>
        <v>23896.103896103858</v>
      </c>
      <c r="F141" s="105"/>
      <c r="G141" s="105" t="s">
        <v>1495</v>
      </c>
    </row>
    <row r="142" spans="1:8" x14ac:dyDescent="0.2">
      <c r="B142" s="1" t="s">
        <v>1056</v>
      </c>
      <c r="C142" s="183">
        <v>0.25</v>
      </c>
      <c r="D142" s="111"/>
      <c r="E142" s="237">
        <v>0.25</v>
      </c>
      <c r="F142" s="105"/>
      <c r="G142" s="105" t="s">
        <v>1340</v>
      </c>
    </row>
    <row r="143" spans="1:8" x14ac:dyDescent="0.2">
      <c r="B143" s="1" t="s">
        <v>1468</v>
      </c>
      <c r="C143" s="22">
        <v>3896.1038961038867</v>
      </c>
      <c r="D143" s="47"/>
      <c r="E143" s="236">
        <f>E141*E142</f>
        <v>5974.0259740259644</v>
      </c>
      <c r="F143" s="105"/>
      <c r="G143" s="105"/>
    </row>
    <row r="144" spans="1:8" x14ac:dyDescent="0.2">
      <c r="C144" s="21"/>
      <c r="D144" s="47"/>
      <c r="E144" s="235"/>
      <c r="F144" s="105"/>
      <c r="G144" s="105"/>
    </row>
    <row r="145" spans="1:8" x14ac:dyDescent="0.2">
      <c r="C145" s="47" t="s">
        <v>1496</v>
      </c>
      <c r="E145" s="235">
        <f>E143-C143</f>
        <v>2077.9220779220777</v>
      </c>
      <c r="F145" s="105"/>
      <c r="G145" s="105"/>
    </row>
    <row r="146" spans="1:8" x14ac:dyDescent="0.2">
      <c r="E146" s="105"/>
      <c r="F146" s="105"/>
      <c r="G146" s="105"/>
    </row>
    <row r="147" spans="1:8" x14ac:dyDescent="0.2">
      <c r="B147" s="1" t="s">
        <v>1363</v>
      </c>
      <c r="E147" s="235">
        <f>E143-C143</f>
        <v>2077.9220779220777</v>
      </c>
      <c r="F147" s="105"/>
      <c r="G147" s="105" t="s">
        <v>1497</v>
      </c>
    </row>
    <row r="148" spans="1:8" x14ac:dyDescent="0.2">
      <c r="B148" s="1" t="s">
        <v>1498</v>
      </c>
      <c r="E148" s="235">
        <f>E147</f>
        <v>2077.9220779220777</v>
      </c>
      <c r="F148" s="105"/>
      <c r="G148" s="105"/>
    </row>
    <row r="150" spans="1:8" x14ac:dyDescent="0.2">
      <c r="A150" s="3" t="s">
        <v>1499</v>
      </c>
      <c r="B150" s="3" t="s">
        <v>1500</v>
      </c>
      <c r="C150" s="41"/>
      <c r="D150" s="41"/>
      <c r="E150" s="41"/>
      <c r="F150" s="41"/>
      <c r="G150" s="41"/>
      <c r="H150" s="41"/>
    </row>
    <row r="152" spans="1:8" x14ac:dyDescent="0.2">
      <c r="A152" s="1" t="s">
        <v>1418</v>
      </c>
    </row>
    <row r="153" spans="1:8" x14ac:dyDescent="0.2">
      <c r="A153" s="1" t="s">
        <v>1419</v>
      </c>
    </row>
    <row r="154" spans="1:8" x14ac:dyDescent="0.2">
      <c r="A154" s="1" t="s">
        <v>1420</v>
      </c>
    </row>
    <row r="155" spans="1:8" x14ac:dyDescent="0.2">
      <c r="A155" s="1" t="s">
        <v>1421</v>
      </c>
    </row>
    <row r="156" spans="1:8" x14ac:dyDescent="0.2">
      <c r="A156" s="1" t="s">
        <v>1422</v>
      </c>
    </row>
    <row r="157" spans="1:8" x14ac:dyDescent="0.2">
      <c r="A157" s="1" t="s">
        <v>1423</v>
      </c>
    </row>
    <row r="159" spans="1:8" x14ac:dyDescent="0.2">
      <c r="A159" s="1" t="s">
        <v>1501</v>
      </c>
    </row>
    <row r="160" spans="1:8" x14ac:dyDescent="0.2">
      <c r="A160" s="1" t="s">
        <v>1502</v>
      </c>
    </row>
    <row r="161" spans="1:7" x14ac:dyDescent="0.2">
      <c r="A161" s="1" t="s">
        <v>1503</v>
      </c>
    </row>
    <row r="163" spans="1:7" x14ac:dyDescent="0.2">
      <c r="A163" s="1" t="s">
        <v>1504</v>
      </c>
    </row>
    <row r="164" spans="1:7" x14ac:dyDescent="0.2">
      <c r="E164" s="38">
        <f>400000*8/55</f>
        <v>58181.818181818184</v>
      </c>
      <c r="G164" s="1" t="s">
        <v>1505</v>
      </c>
    </row>
    <row r="165" spans="1:7" x14ac:dyDescent="0.2">
      <c r="E165" s="38"/>
    </row>
    <row r="166" spans="1:7" ht="17" thickBot="1" x14ac:dyDescent="0.25">
      <c r="F166" s="19" t="s">
        <v>893</v>
      </c>
      <c r="G166" s="111" t="s">
        <v>1360</v>
      </c>
    </row>
    <row r="167" spans="1:7" x14ac:dyDescent="0.2">
      <c r="B167" s="4"/>
      <c r="C167" s="5"/>
      <c r="D167" s="184">
        <v>44561</v>
      </c>
      <c r="E167" s="184">
        <v>44926</v>
      </c>
      <c r="F167" s="238">
        <v>45291</v>
      </c>
      <c r="G167" s="238">
        <v>45291</v>
      </c>
    </row>
    <row r="168" spans="1:7" x14ac:dyDescent="0.2">
      <c r="B168" s="7" t="s">
        <v>95</v>
      </c>
      <c r="D168" s="225">
        <v>400000</v>
      </c>
      <c r="E168" s="225">
        <v>400000</v>
      </c>
      <c r="F168" s="239">
        <v>400000</v>
      </c>
      <c r="G168" s="239">
        <v>400000</v>
      </c>
    </row>
    <row r="169" spans="1:7" x14ac:dyDescent="0.2">
      <c r="B169" s="7" t="s">
        <v>1453</v>
      </c>
      <c r="D169" s="185">
        <v>-72727.272727272721</v>
      </c>
      <c r="E169" s="185">
        <v>-138181.81818181818</v>
      </c>
      <c r="F169" s="230">
        <f>E169-F173</f>
        <v>-196363.63636363635</v>
      </c>
      <c r="G169" s="230">
        <f>F169</f>
        <v>-196363.63636363635</v>
      </c>
    </row>
    <row r="170" spans="1:7" x14ac:dyDescent="0.2">
      <c r="B170" s="7" t="s">
        <v>718</v>
      </c>
      <c r="D170" s="226">
        <v>0</v>
      </c>
      <c r="E170" s="226">
        <v>0</v>
      </c>
      <c r="F170" s="231">
        <v>0</v>
      </c>
      <c r="G170" s="230">
        <f>-C205</f>
        <v>-57583.799105575599</v>
      </c>
    </row>
    <row r="171" spans="1:7" x14ac:dyDescent="0.2">
      <c r="B171" s="7" t="s">
        <v>99</v>
      </c>
      <c r="D171" s="227">
        <v>327272.72727272729</v>
      </c>
      <c r="E171" s="227">
        <v>261818.18181818182</v>
      </c>
      <c r="F171" s="232">
        <f>F168+F169+F170</f>
        <v>203636.36363636365</v>
      </c>
      <c r="G171" s="232">
        <f>G168+G169+G170</f>
        <v>146052.56453078805</v>
      </c>
    </row>
    <row r="172" spans="1:7" x14ac:dyDescent="0.2">
      <c r="B172" s="7"/>
      <c r="D172" s="9"/>
      <c r="E172" s="9"/>
      <c r="F172" s="240"/>
      <c r="G172" s="240"/>
    </row>
    <row r="173" spans="1:7" x14ac:dyDescent="0.2">
      <c r="B173" s="7" t="s">
        <v>100</v>
      </c>
      <c r="D173" s="185">
        <v>72727.272727272721</v>
      </c>
      <c r="E173" s="185">
        <v>65454.545454545456</v>
      </c>
      <c r="F173" s="230">
        <f>400000*8/55</f>
        <v>58181.818181818184</v>
      </c>
      <c r="G173" s="230">
        <f>F173</f>
        <v>58181.818181818184</v>
      </c>
    </row>
    <row r="174" spans="1:7" x14ac:dyDescent="0.2">
      <c r="B174" s="7" t="s">
        <v>891</v>
      </c>
      <c r="D174" s="9"/>
      <c r="E174" s="9"/>
      <c r="F174" s="240"/>
      <c r="G174" s="230">
        <f>-G170</f>
        <v>57583.799105575599</v>
      </c>
    </row>
    <row r="175" spans="1:7" x14ac:dyDescent="0.2">
      <c r="B175" s="7" t="s">
        <v>1454</v>
      </c>
      <c r="D175" s="185">
        <v>3896.1038961038867</v>
      </c>
      <c r="E175" s="185">
        <v>5974.0259740259644</v>
      </c>
      <c r="F175" s="241"/>
      <c r="G175" s="230">
        <f>E212</f>
        <v>20629.716010160133</v>
      </c>
    </row>
    <row r="176" spans="1:7" x14ac:dyDescent="0.2">
      <c r="B176" s="7" t="s">
        <v>1489</v>
      </c>
      <c r="D176" s="226">
        <v>0</v>
      </c>
      <c r="E176" s="226">
        <v>0</v>
      </c>
      <c r="F176" s="242"/>
      <c r="G176" s="243">
        <v>0</v>
      </c>
    </row>
    <row r="177" spans="1:7" x14ac:dyDescent="0.2">
      <c r="B177" s="7" t="s">
        <v>1362</v>
      </c>
      <c r="D177" s="185">
        <v>3896.1038961038867</v>
      </c>
      <c r="E177" s="185">
        <v>2077.9220779220777</v>
      </c>
      <c r="F177" s="241"/>
      <c r="G177" s="230">
        <f>D217</f>
        <v>14655.690036134169</v>
      </c>
    </row>
    <row r="178" spans="1:7" ht="17" thickBot="1" x14ac:dyDescent="0.25">
      <c r="B178" s="10" t="s">
        <v>1364</v>
      </c>
      <c r="C178" s="11"/>
      <c r="D178" s="12"/>
      <c r="E178" s="12"/>
      <c r="F178" s="244"/>
      <c r="G178" s="233"/>
    </row>
    <row r="180" spans="1:7" x14ac:dyDescent="0.2">
      <c r="A180" s="1" t="s">
        <v>1506</v>
      </c>
    </row>
    <row r="181" spans="1:7" x14ac:dyDescent="0.2">
      <c r="A181" s="1" t="s">
        <v>1507</v>
      </c>
    </row>
    <row r="183" spans="1:7" x14ac:dyDescent="0.2">
      <c r="A183" s="193" t="s">
        <v>1508</v>
      </c>
    </row>
    <row r="184" spans="1:7" x14ac:dyDescent="0.2">
      <c r="A184" s="1" t="s">
        <v>1509</v>
      </c>
      <c r="C184" s="23">
        <v>150000</v>
      </c>
    </row>
    <row r="185" spans="1:7" x14ac:dyDescent="0.2">
      <c r="A185" s="1" t="s">
        <v>1510</v>
      </c>
      <c r="C185" s="245">
        <f>-20%*C184</f>
        <v>-30000</v>
      </c>
      <c r="E185" s="1" t="s">
        <v>1511</v>
      </c>
      <c r="F185" s="1" t="s">
        <v>1512</v>
      </c>
    </row>
    <row r="186" spans="1:7" x14ac:dyDescent="0.2">
      <c r="A186" s="1" t="s">
        <v>1513</v>
      </c>
      <c r="C186" s="246">
        <f>C184+C185</f>
        <v>120000</v>
      </c>
    </row>
    <row r="188" spans="1:7" x14ac:dyDescent="0.2">
      <c r="A188" s="193" t="s">
        <v>1514</v>
      </c>
    </row>
    <row r="189" spans="1:7" x14ac:dyDescent="0.2">
      <c r="A189" s="1" t="s">
        <v>1515</v>
      </c>
      <c r="C189" s="23">
        <v>30000</v>
      </c>
    </row>
    <row r="190" spans="1:7" x14ac:dyDescent="0.2">
      <c r="A190" s="1" t="s">
        <v>1516</v>
      </c>
      <c r="C190" s="1">
        <v>7</v>
      </c>
      <c r="E190" s="1" t="s">
        <v>1517</v>
      </c>
      <c r="F190" s="1" t="s">
        <v>1518</v>
      </c>
    </row>
    <row r="191" spans="1:7" x14ac:dyDescent="0.2">
      <c r="A191" s="1" t="s">
        <v>1519</v>
      </c>
      <c r="C191" s="24">
        <v>0.1</v>
      </c>
    </row>
    <row r="192" spans="1:7" x14ac:dyDescent="0.2">
      <c r="A192" s="1" t="s">
        <v>1520</v>
      </c>
      <c r="C192" s="247">
        <f>-PV(C191,C190,C189)</f>
        <v>146052.56453078805</v>
      </c>
      <c r="E192" s="1" t="str">
        <f ca="1">_xlfn.FORMULATEXT(C192)</f>
        <v>=-PV(C191,C190,C189)</v>
      </c>
    </row>
    <row r="194" spans="1:7" x14ac:dyDescent="0.2">
      <c r="A194" s="1" t="s">
        <v>1521</v>
      </c>
      <c r="D194" s="24">
        <v>0.1</v>
      </c>
      <c r="E194" s="1" t="s">
        <v>113</v>
      </c>
    </row>
    <row r="195" spans="1:7" x14ac:dyDescent="0.2">
      <c r="D195" s="1">
        <v>7</v>
      </c>
      <c r="E195" s="1" t="s">
        <v>114</v>
      </c>
    </row>
    <row r="196" spans="1:7" x14ac:dyDescent="0.2">
      <c r="D196" s="1">
        <v>30000</v>
      </c>
      <c r="E196" s="1" t="s">
        <v>115</v>
      </c>
    </row>
    <row r="197" spans="1:7" x14ac:dyDescent="0.2">
      <c r="D197" s="1">
        <v>0</v>
      </c>
      <c r="E197" s="1" t="s">
        <v>117</v>
      </c>
    </row>
    <row r="198" spans="1:7" x14ac:dyDescent="0.2">
      <c r="D198" s="248">
        <f>PV(D194,D195,D196,D197)</f>
        <v>-146052.56453078805</v>
      </c>
      <c r="E198" s="1" t="s">
        <v>116</v>
      </c>
    </row>
    <row r="200" spans="1:7" x14ac:dyDescent="0.2">
      <c r="A200" s="1" t="s">
        <v>1522</v>
      </c>
    </row>
    <row r="201" spans="1:7" x14ac:dyDescent="0.2">
      <c r="C201" s="31">
        <f>C192</f>
        <v>146052.56453078805</v>
      </c>
    </row>
    <row r="203" spans="1:7" x14ac:dyDescent="0.2">
      <c r="A203" s="1" t="s">
        <v>1523</v>
      </c>
      <c r="C203" s="23">
        <f>F171</f>
        <v>203636.36363636365</v>
      </c>
    </row>
    <row r="204" spans="1:7" ht="17" thickBot="1" x14ac:dyDescent="0.25"/>
    <row r="205" spans="1:7" ht="17" thickBot="1" x14ac:dyDescent="0.25">
      <c r="A205" s="32" t="s">
        <v>1524</v>
      </c>
      <c r="B205" s="33"/>
      <c r="C205" s="249">
        <f>C203-C201</f>
        <v>57583.799105575599</v>
      </c>
    </row>
    <row r="207" spans="1:7" x14ac:dyDescent="0.2">
      <c r="B207" s="40"/>
      <c r="C207" s="40" t="s">
        <v>1493</v>
      </c>
      <c r="D207" s="40"/>
      <c r="E207" s="40" t="s">
        <v>1525</v>
      </c>
    </row>
    <row r="208" spans="1:7" x14ac:dyDescent="0.2">
      <c r="A208" s="1" t="s">
        <v>99</v>
      </c>
      <c r="C208" s="21">
        <v>261818.18181818182</v>
      </c>
      <c r="D208" s="19"/>
      <c r="E208" s="235">
        <f>G171</f>
        <v>146052.56453078805</v>
      </c>
      <c r="F208" s="47"/>
      <c r="G208" s="105"/>
    </row>
    <row r="209" spans="1:8" x14ac:dyDescent="0.2">
      <c r="A209" s="1" t="s">
        <v>1054</v>
      </c>
      <c r="C209" s="21">
        <v>285714.28571428568</v>
      </c>
      <c r="D209" s="19"/>
      <c r="E209" s="235">
        <f>400000/7*4</f>
        <v>228571.42857142858</v>
      </c>
      <c r="F209" s="47"/>
      <c r="G209" s="47" t="s">
        <v>1526</v>
      </c>
      <c r="H209" s="47"/>
    </row>
    <row r="210" spans="1:8" x14ac:dyDescent="0.2">
      <c r="A210" s="1" t="s">
        <v>1467</v>
      </c>
      <c r="C210" s="22">
        <v>23896.103896103858</v>
      </c>
      <c r="D210" s="47"/>
      <c r="E210" s="236">
        <f>E209-E208</f>
        <v>82518.864040640532</v>
      </c>
      <c r="F210" s="105"/>
      <c r="G210" s="105"/>
    </row>
    <row r="211" spans="1:8" x14ac:dyDescent="0.2">
      <c r="A211" s="1" t="s">
        <v>1056</v>
      </c>
      <c r="C211" s="183">
        <v>0.25</v>
      </c>
      <c r="D211" s="19"/>
      <c r="E211" s="237">
        <v>0.25</v>
      </c>
      <c r="F211" s="105"/>
      <c r="G211" s="105"/>
    </row>
    <row r="212" spans="1:8" x14ac:dyDescent="0.2">
      <c r="A212" s="1" t="s">
        <v>1468</v>
      </c>
      <c r="C212" s="22">
        <v>5974.0259740259644</v>
      </c>
      <c r="E212" s="236">
        <f>E210*E211</f>
        <v>20629.716010160133</v>
      </c>
      <c r="F212" s="47"/>
      <c r="G212" s="47"/>
    </row>
    <row r="214" spans="1:8" x14ac:dyDescent="0.2">
      <c r="D214" s="1" t="s">
        <v>1527</v>
      </c>
    </row>
    <row r="216" spans="1:8" x14ac:dyDescent="0.2">
      <c r="A216" s="1" t="s">
        <v>1363</v>
      </c>
      <c r="D216" s="21">
        <f>E212-C212</f>
        <v>14655.690036134169</v>
      </c>
      <c r="E216" s="21"/>
    </row>
    <row r="217" spans="1:8" x14ac:dyDescent="0.2">
      <c r="A217" s="1" t="s">
        <v>1498</v>
      </c>
      <c r="D217" s="21">
        <f>D216</f>
        <v>14655.690036134169</v>
      </c>
      <c r="E217" s="21"/>
    </row>
    <row r="219" spans="1:8" x14ac:dyDescent="0.2">
      <c r="A219" s="3" t="s">
        <v>1528</v>
      </c>
      <c r="B219" s="3" t="s">
        <v>1500</v>
      </c>
      <c r="C219" s="41"/>
      <c r="D219" s="41"/>
      <c r="E219" s="41"/>
      <c r="F219" s="41"/>
      <c r="G219" s="41"/>
      <c r="H219" s="41"/>
    </row>
    <row r="221" spans="1:8" x14ac:dyDescent="0.2">
      <c r="A221" s="1" t="s">
        <v>1424</v>
      </c>
    </row>
    <row r="222" spans="1:8" x14ac:dyDescent="0.2">
      <c r="A222" s="1" t="s">
        <v>1425</v>
      </c>
    </row>
    <row r="223" spans="1:8" x14ac:dyDescent="0.2">
      <c r="A223" s="1" t="s">
        <v>1426</v>
      </c>
    </row>
    <row r="224" spans="1:8" ht="17" thickBot="1" x14ac:dyDescent="0.25"/>
    <row r="225" spans="1:8" x14ac:dyDescent="0.2">
      <c r="A225" s="4" t="s">
        <v>1529</v>
      </c>
      <c r="B225" s="5"/>
      <c r="C225" s="5"/>
      <c r="D225" s="5"/>
      <c r="E225" s="5"/>
      <c r="F225" s="5"/>
      <c r="G225" s="5"/>
      <c r="H225" s="6"/>
    </row>
    <row r="226" spans="1:8" x14ac:dyDescent="0.2">
      <c r="A226" s="7" t="s">
        <v>1530</v>
      </c>
      <c r="H226" s="9"/>
    </row>
    <row r="227" spans="1:8" ht="17" thickBot="1" x14ac:dyDescent="0.25">
      <c r="A227" s="10" t="s">
        <v>1531</v>
      </c>
      <c r="B227" s="11"/>
      <c r="C227" s="11"/>
      <c r="D227" s="11"/>
      <c r="E227" s="11"/>
      <c r="F227" s="11"/>
      <c r="G227" s="11"/>
      <c r="H227" s="12"/>
    </row>
    <row r="229" spans="1:8" ht="17" thickBot="1" x14ac:dyDescent="0.25">
      <c r="F229" s="19"/>
      <c r="G229" s="111" t="s">
        <v>893</v>
      </c>
      <c r="H229" s="111" t="s">
        <v>1360</v>
      </c>
    </row>
    <row r="230" spans="1:8" x14ac:dyDescent="0.2">
      <c r="B230" s="4"/>
      <c r="C230" s="5"/>
      <c r="D230" s="184">
        <v>44561</v>
      </c>
      <c r="E230" s="184">
        <v>44926</v>
      </c>
      <c r="F230" s="184">
        <v>45291</v>
      </c>
      <c r="G230" s="238">
        <v>45657</v>
      </c>
      <c r="H230" s="238">
        <v>45657</v>
      </c>
    </row>
    <row r="231" spans="1:8" x14ac:dyDescent="0.2">
      <c r="B231" s="7" t="s">
        <v>95</v>
      </c>
      <c r="D231" s="225">
        <v>400000</v>
      </c>
      <c r="E231" s="225">
        <v>400000</v>
      </c>
      <c r="F231" s="225">
        <v>400000</v>
      </c>
      <c r="G231" s="239">
        <f>F231</f>
        <v>400000</v>
      </c>
      <c r="H231" s="239">
        <f>G231</f>
        <v>400000</v>
      </c>
    </row>
    <row r="232" spans="1:8" x14ac:dyDescent="0.2">
      <c r="B232" s="7" t="s">
        <v>1453</v>
      </c>
      <c r="D232" s="185">
        <v>-72727.272727272721</v>
      </c>
      <c r="E232" s="185">
        <v>-138181.81818181818</v>
      </c>
      <c r="F232" s="185">
        <v>-196363.63636363635</v>
      </c>
      <c r="G232" s="230">
        <f>-G236-E262+F232</f>
        <v>-247272.72727272726</v>
      </c>
      <c r="H232" s="230">
        <f>G232</f>
        <v>-247272.72727272726</v>
      </c>
    </row>
    <row r="233" spans="1:8" x14ac:dyDescent="0.2">
      <c r="B233" s="7" t="s">
        <v>718</v>
      </c>
      <c r="D233" s="226">
        <v>0</v>
      </c>
      <c r="E233" s="226">
        <v>0</v>
      </c>
      <c r="F233" s="185">
        <v>-57583.799105575599</v>
      </c>
      <c r="G233" s="230">
        <f>F233+E262</f>
        <v>-43187.849329181699</v>
      </c>
      <c r="H233" s="230">
        <f>-D296</f>
        <v>-16727.272727272735</v>
      </c>
    </row>
    <row r="234" spans="1:8" x14ac:dyDescent="0.2">
      <c r="B234" s="7" t="s">
        <v>99</v>
      </c>
      <c r="D234" s="227">
        <v>327272.72727272729</v>
      </c>
      <c r="E234" s="227">
        <v>261818.18181818182</v>
      </c>
      <c r="F234" s="227">
        <v>146052.56453078805</v>
      </c>
      <c r="G234" s="232">
        <f>G231+G232+G233</f>
        <v>109539.42339809104</v>
      </c>
      <c r="H234" s="232">
        <f>SUM(H231:H233)</f>
        <v>136000</v>
      </c>
    </row>
    <row r="235" spans="1:8" x14ac:dyDescent="0.2">
      <c r="B235" s="7"/>
      <c r="D235" s="9"/>
      <c r="E235" s="9"/>
      <c r="F235" s="9"/>
      <c r="G235" s="240"/>
      <c r="H235" s="240"/>
    </row>
    <row r="236" spans="1:8" x14ac:dyDescent="0.2">
      <c r="B236" s="7" t="s">
        <v>100</v>
      </c>
      <c r="D236" s="185">
        <v>72727.272727272721</v>
      </c>
      <c r="E236" s="185">
        <v>65454.545454545456</v>
      </c>
      <c r="F236" s="185">
        <v>58181.818181818184</v>
      </c>
      <c r="G236" s="230">
        <f>E250</f>
        <v>36513.141132697012</v>
      </c>
      <c r="H236" s="230">
        <f>G236</f>
        <v>36513.141132697012</v>
      </c>
    </row>
    <row r="237" spans="1:8" x14ac:dyDescent="0.2">
      <c r="B237" s="7" t="s">
        <v>891</v>
      </c>
      <c r="D237" s="9"/>
      <c r="E237" s="9"/>
      <c r="F237" s="185">
        <v>57583.799105575599</v>
      </c>
      <c r="G237" s="241"/>
      <c r="H237" s="230"/>
    </row>
    <row r="238" spans="1:8" x14ac:dyDescent="0.2">
      <c r="B238" s="7" t="s">
        <v>809</v>
      </c>
      <c r="D238" s="9"/>
      <c r="E238" s="9"/>
      <c r="F238" s="185"/>
      <c r="G238" s="241"/>
      <c r="H238" s="230">
        <f>H282</f>
        <v>26460.576601908964</v>
      </c>
    </row>
    <row r="239" spans="1:8" x14ac:dyDescent="0.2">
      <c r="B239" s="7" t="s">
        <v>1454</v>
      </c>
      <c r="D239" s="185">
        <v>3896.1038961038867</v>
      </c>
      <c r="E239" s="185">
        <v>5974.0259740259644</v>
      </c>
      <c r="F239" s="185">
        <v>20629.716010160133</v>
      </c>
      <c r="G239" s="241"/>
      <c r="H239" s="230">
        <f>F303</f>
        <v>8857.1428571428551</v>
      </c>
    </row>
    <row r="240" spans="1:8" x14ac:dyDescent="0.2">
      <c r="B240" s="7" t="s">
        <v>1489</v>
      </c>
      <c r="D240" s="226">
        <v>0</v>
      </c>
      <c r="E240" s="226">
        <v>0</v>
      </c>
      <c r="F240" s="226">
        <v>0</v>
      </c>
      <c r="G240" s="242"/>
      <c r="H240" s="231"/>
    </row>
    <row r="241" spans="1:8" x14ac:dyDescent="0.2">
      <c r="B241" s="7" t="s">
        <v>1362</v>
      </c>
      <c r="D241" s="185">
        <v>3896.1038961038867</v>
      </c>
      <c r="E241" s="185">
        <v>2077.9220779220777</v>
      </c>
      <c r="F241" s="185">
        <v>14655.690036134169</v>
      </c>
      <c r="G241" s="241"/>
      <c r="H241" s="230"/>
    </row>
    <row r="242" spans="1:8" ht="17" thickBot="1" x14ac:dyDescent="0.25">
      <c r="B242" s="10" t="s">
        <v>1364</v>
      </c>
      <c r="C242" s="11"/>
      <c r="D242" s="12"/>
      <c r="E242" s="12"/>
      <c r="F242" s="12"/>
      <c r="G242" s="244"/>
      <c r="H242" s="250">
        <f>D307</f>
        <v>11772.573153017278</v>
      </c>
    </row>
    <row r="244" spans="1:8" x14ac:dyDescent="0.2">
      <c r="A244" s="1" t="s">
        <v>1532</v>
      </c>
    </row>
    <row r="245" spans="1:8" x14ac:dyDescent="0.2">
      <c r="A245" s="1" t="s">
        <v>1533</v>
      </c>
    </row>
    <row r="246" spans="1:8" x14ac:dyDescent="0.2">
      <c r="A246" s="1" t="s">
        <v>1534</v>
      </c>
    </row>
    <row r="248" spans="1:8" x14ac:dyDescent="0.2">
      <c r="A248" s="1" t="s">
        <v>1535</v>
      </c>
      <c r="E248" s="1">
        <v>7</v>
      </c>
      <c r="F248" s="1" t="s">
        <v>1517</v>
      </c>
      <c r="H248" s="1" t="s">
        <v>1536</v>
      </c>
    </row>
    <row r="249" spans="1:8" x14ac:dyDescent="0.2">
      <c r="A249" s="1" t="s">
        <v>1537</v>
      </c>
      <c r="E249" s="1">
        <f>7*8/2</f>
        <v>28</v>
      </c>
      <c r="F249" s="1" t="s">
        <v>1538</v>
      </c>
      <c r="H249" s="1" t="s">
        <v>1539</v>
      </c>
    </row>
    <row r="250" spans="1:8" s="47" customFormat="1" x14ac:dyDescent="0.2">
      <c r="A250" s="47" t="s">
        <v>1540</v>
      </c>
      <c r="E250" s="251">
        <f>F234*E248/E249</f>
        <v>36513.141132697012</v>
      </c>
      <c r="G250" s="47" t="s">
        <v>1541</v>
      </c>
    </row>
    <row r="251" spans="1:8" x14ac:dyDescent="0.2">
      <c r="E251" s="105"/>
      <c r="F251" s="105"/>
      <c r="G251" s="105"/>
    </row>
    <row r="252" spans="1:8" x14ac:dyDescent="0.2">
      <c r="E252" s="105"/>
      <c r="F252" s="105"/>
      <c r="G252" s="105"/>
    </row>
    <row r="253" spans="1:8" x14ac:dyDescent="0.2">
      <c r="E253" s="19" t="s">
        <v>1542</v>
      </c>
      <c r="F253" s="19"/>
      <c r="G253" s="19"/>
      <c r="H253" s="19" t="s">
        <v>1449</v>
      </c>
    </row>
    <row r="254" spans="1:8" ht="17" thickBot="1" x14ac:dyDescent="0.25">
      <c r="D254" s="56">
        <v>45657</v>
      </c>
      <c r="E254" s="56">
        <v>45291</v>
      </c>
      <c r="F254" s="56">
        <v>44926</v>
      </c>
      <c r="G254" s="56">
        <v>44561</v>
      </c>
      <c r="H254" s="56">
        <v>44197</v>
      </c>
    </row>
    <row r="255" spans="1:8" ht="17" thickBot="1" x14ac:dyDescent="0.25">
      <c r="G255" s="222">
        <v>10</v>
      </c>
      <c r="H255" s="223"/>
    </row>
    <row r="256" spans="1:8" x14ac:dyDescent="0.2">
      <c r="F256" s="224">
        <v>9</v>
      </c>
      <c r="G256" s="224"/>
    </row>
    <row r="257" spans="1:7" x14ac:dyDescent="0.2">
      <c r="E257" s="224">
        <v>8</v>
      </c>
      <c r="F257" s="224"/>
    </row>
    <row r="258" spans="1:7" x14ac:dyDescent="0.2">
      <c r="D258" s="252">
        <v>7</v>
      </c>
      <c r="E258" s="252"/>
      <c r="F258" s="105"/>
      <c r="G258" s="105"/>
    </row>
    <row r="259" spans="1:7" x14ac:dyDescent="0.2">
      <c r="D259" s="252" t="s">
        <v>1543</v>
      </c>
      <c r="E259" s="252"/>
      <c r="F259" s="105"/>
      <c r="G259" s="105"/>
    </row>
    <row r="260" spans="1:7" x14ac:dyDescent="0.2">
      <c r="E260" s="105"/>
      <c r="F260" s="105"/>
      <c r="G260" s="105"/>
    </row>
    <row r="261" spans="1:7" s="47" customFormat="1" x14ac:dyDescent="0.2">
      <c r="A261" s="47" t="s">
        <v>1544</v>
      </c>
    </row>
    <row r="262" spans="1:7" s="47" customFormat="1" x14ac:dyDescent="0.2">
      <c r="E262" s="251">
        <f>-F233*E248/E249</f>
        <v>14395.9497763939</v>
      </c>
      <c r="G262" s="47" t="s">
        <v>1545</v>
      </c>
    </row>
    <row r="263" spans="1:7" x14ac:dyDescent="0.2">
      <c r="E263" s="105"/>
      <c r="F263" s="105"/>
      <c r="G263" s="105"/>
    </row>
    <row r="264" spans="1:7" x14ac:dyDescent="0.2">
      <c r="A264" s="1" t="s">
        <v>1546</v>
      </c>
      <c r="E264" s="105"/>
      <c r="F264" s="105"/>
      <c r="G264" s="105"/>
    </row>
    <row r="265" spans="1:7" x14ac:dyDescent="0.2">
      <c r="B265" s="1" t="s">
        <v>1547</v>
      </c>
      <c r="E265" s="114">
        <f>-F232</f>
        <v>196363.63636363635</v>
      </c>
      <c r="F265" s="105"/>
      <c r="G265" s="105"/>
    </row>
    <row r="266" spans="1:7" x14ac:dyDescent="0.2">
      <c r="B266" s="1" t="s">
        <v>1548</v>
      </c>
      <c r="E266" s="114">
        <f>E250</f>
        <v>36513.141132697012</v>
      </c>
      <c r="F266" s="105"/>
      <c r="G266" s="105"/>
    </row>
    <row r="267" spans="1:7" x14ac:dyDescent="0.2">
      <c r="B267" s="1" t="s">
        <v>1549</v>
      </c>
      <c r="E267" s="114">
        <f>E262</f>
        <v>14395.9497763939</v>
      </c>
      <c r="F267" s="105"/>
      <c r="G267" s="105"/>
    </row>
    <row r="268" spans="1:7" x14ac:dyDescent="0.2">
      <c r="B268" s="1" t="s">
        <v>1550</v>
      </c>
      <c r="E268" s="115">
        <f>SUM(E265:E267)</f>
        <v>247272.72727272724</v>
      </c>
      <c r="F268" s="105"/>
      <c r="G268" s="105"/>
    </row>
    <row r="270" spans="1:7" ht="17" thickBot="1" x14ac:dyDescent="0.25">
      <c r="A270" s="1" t="s">
        <v>1551</v>
      </c>
    </row>
    <row r="271" spans="1:7" ht="17" thickBot="1" x14ac:dyDescent="0.25">
      <c r="A271" s="1" t="s">
        <v>1552</v>
      </c>
      <c r="E271" s="253">
        <f>170000*0.8</f>
        <v>136000</v>
      </c>
      <c r="G271" s="1" t="s">
        <v>1553</v>
      </c>
    </row>
    <row r="273" spans="1:8" x14ac:dyDescent="0.2">
      <c r="A273" s="1" t="s">
        <v>1554</v>
      </c>
      <c r="H273" s="1" t="s">
        <v>1555</v>
      </c>
    </row>
    <row r="274" spans="1:8" x14ac:dyDescent="0.2">
      <c r="B274" s="1" t="s">
        <v>1556</v>
      </c>
      <c r="E274" s="23">
        <v>15000</v>
      </c>
      <c r="G274" s="1" t="s">
        <v>1557</v>
      </c>
    </row>
    <row r="275" spans="1:8" x14ac:dyDescent="0.2">
      <c r="B275" s="1" t="s">
        <v>1558</v>
      </c>
      <c r="E275" s="1">
        <v>6</v>
      </c>
      <c r="F275" s="1" t="s">
        <v>1559</v>
      </c>
    </row>
    <row r="276" spans="1:8" x14ac:dyDescent="0.2">
      <c r="B276" s="1" t="s">
        <v>1560</v>
      </c>
      <c r="E276" s="24">
        <v>0.1</v>
      </c>
    </row>
    <row r="277" spans="1:8" ht="17" thickBot="1" x14ac:dyDescent="0.25"/>
    <row r="278" spans="1:8" ht="17" thickBot="1" x14ac:dyDescent="0.25">
      <c r="B278" s="1" t="s">
        <v>1000</v>
      </c>
      <c r="E278" s="68">
        <f>-PV(E276,E275,E274)</f>
        <v>65328.91049193342</v>
      </c>
    </row>
    <row r="279" spans="1:8" ht="17" thickBot="1" x14ac:dyDescent="0.25"/>
    <row r="280" spans="1:8" ht="17" thickBot="1" x14ac:dyDescent="0.25">
      <c r="A280" s="1" t="s">
        <v>1561</v>
      </c>
      <c r="H280" s="254">
        <f>E271</f>
        <v>136000</v>
      </c>
    </row>
    <row r="281" spans="1:8" ht="17" thickBot="1" x14ac:dyDescent="0.25">
      <c r="A281" s="1" t="s">
        <v>1562</v>
      </c>
      <c r="H281" s="23">
        <f>G234</f>
        <v>109539.42339809104</v>
      </c>
    </row>
    <row r="282" spans="1:8" ht="17" thickBot="1" x14ac:dyDescent="0.25">
      <c r="A282" s="1" t="s">
        <v>1563</v>
      </c>
      <c r="H282" s="254">
        <f>H280-H281</f>
        <v>26460.576601908964</v>
      </c>
    </row>
    <row r="284" spans="1:8" x14ac:dyDescent="0.2">
      <c r="A284" s="1" t="s">
        <v>1564</v>
      </c>
      <c r="H284" s="73">
        <f>-G233</f>
        <v>43187.849329181699</v>
      </c>
    </row>
    <row r="286" spans="1:8" x14ac:dyDescent="0.2">
      <c r="A286" s="1" t="s">
        <v>1565</v>
      </c>
    </row>
    <row r="287" spans="1:8" x14ac:dyDescent="0.2">
      <c r="A287" s="1" t="s">
        <v>1566</v>
      </c>
    </row>
    <row r="289" spans="1:8" x14ac:dyDescent="0.2">
      <c r="B289" s="1" t="s">
        <v>908</v>
      </c>
      <c r="D289" s="73">
        <f>H282</f>
        <v>26460.576601908964</v>
      </c>
    </row>
    <row r="290" spans="1:8" x14ac:dyDescent="0.2">
      <c r="B290" s="1" t="s">
        <v>1567</v>
      </c>
      <c r="D290" s="73">
        <f>D289</f>
        <v>26460.576601908964</v>
      </c>
    </row>
    <row r="292" spans="1:8" x14ac:dyDescent="0.2">
      <c r="A292" s="1" t="s">
        <v>1568</v>
      </c>
    </row>
    <row r="293" spans="1:8" x14ac:dyDescent="0.2">
      <c r="B293" s="1" t="s">
        <v>1569</v>
      </c>
      <c r="D293" s="73">
        <f>-F233</f>
        <v>57583.799105575599</v>
      </c>
    </row>
    <row r="294" spans="1:8" x14ac:dyDescent="0.2">
      <c r="B294" s="1" t="s">
        <v>1570</v>
      </c>
      <c r="D294" s="73">
        <f>-E267</f>
        <v>-14395.9497763939</v>
      </c>
    </row>
    <row r="295" spans="1:8" x14ac:dyDescent="0.2">
      <c r="B295" s="1" t="s">
        <v>1571</v>
      </c>
      <c r="D295" s="73">
        <f>-H282</f>
        <v>-26460.576601908964</v>
      </c>
    </row>
    <row r="296" spans="1:8" x14ac:dyDescent="0.2">
      <c r="B296" s="1" t="s">
        <v>1572</v>
      </c>
      <c r="D296" s="74">
        <f>SUM(D293:D295)</f>
        <v>16727.272727272735</v>
      </c>
    </row>
    <row r="298" spans="1:8" x14ac:dyDescent="0.2">
      <c r="C298" s="40"/>
      <c r="D298" s="40" t="s">
        <v>1525</v>
      </c>
      <c r="E298" s="40"/>
      <c r="F298" s="40" t="s">
        <v>1573</v>
      </c>
    </row>
    <row r="299" spans="1:8" x14ac:dyDescent="0.2">
      <c r="B299" s="1" t="s">
        <v>99</v>
      </c>
      <c r="D299" s="21">
        <v>146052.56453078805</v>
      </c>
      <c r="E299" s="19"/>
      <c r="F299" s="235">
        <f>H234</f>
        <v>136000</v>
      </c>
    </row>
    <row r="300" spans="1:8" x14ac:dyDescent="0.2">
      <c r="B300" s="1" t="s">
        <v>1054</v>
      </c>
      <c r="D300" s="21">
        <v>228571.42857142858</v>
      </c>
      <c r="E300" s="19"/>
      <c r="F300" s="235">
        <f>400000/7*3</f>
        <v>171428.57142857142</v>
      </c>
      <c r="H300" s="1" t="s">
        <v>1574</v>
      </c>
    </row>
    <row r="301" spans="1:8" x14ac:dyDescent="0.2">
      <c r="B301" s="1" t="s">
        <v>1467</v>
      </c>
      <c r="D301" s="22">
        <v>82518.864040640532</v>
      </c>
      <c r="F301" s="236">
        <f>F300-F299</f>
        <v>35428.57142857142</v>
      </c>
    </row>
    <row r="302" spans="1:8" x14ac:dyDescent="0.2">
      <c r="B302" s="1" t="s">
        <v>1056</v>
      </c>
      <c r="D302" s="183">
        <v>0.25</v>
      </c>
      <c r="E302" s="19"/>
      <c r="F302" s="237">
        <v>0.25</v>
      </c>
    </row>
    <row r="303" spans="1:8" x14ac:dyDescent="0.2">
      <c r="B303" s="1" t="s">
        <v>1468</v>
      </c>
      <c r="D303" s="22">
        <v>20629.716010160133</v>
      </c>
      <c r="F303" s="236">
        <f>F301*F302</f>
        <v>8857.1428571428551</v>
      </c>
    </row>
    <row r="305" spans="1:8" x14ac:dyDescent="0.2">
      <c r="D305" s="1" t="s">
        <v>1575</v>
      </c>
    </row>
    <row r="306" spans="1:8" x14ac:dyDescent="0.2">
      <c r="E306" s="1" t="s">
        <v>1576</v>
      </c>
      <c r="F306" s="73">
        <f>D303-F303</f>
        <v>11772.573153017278</v>
      </c>
    </row>
    <row r="307" spans="1:8" x14ac:dyDescent="0.2">
      <c r="B307" s="1" t="s">
        <v>1368</v>
      </c>
      <c r="D307" s="21">
        <f>D308</f>
        <v>11772.573153017278</v>
      </c>
    </row>
    <row r="308" spans="1:8" x14ac:dyDescent="0.2">
      <c r="B308" s="1" t="s">
        <v>1370</v>
      </c>
      <c r="D308" s="21">
        <f>D303-F303</f>
        <v>11772.573153017278</v>
      </c>
    </row>
    <row r="310" spans="1:8" x14ac:dyDescent="0.2">
      <c r="A310" s="3" t="s">
        <v>1577</v>
      </c>
      <c r="B310" s="3" t="s">
        <v>1500</v>
      </c>
      <c r="C310" s="41"/>
      <c r="D310" s="41"/>
      <c r="E310" s="41"/>
      <c r="F310" s="41"/>
      <c r="G310" s="41"/>
      <c r="H310" s="41"/>
    </row>
    <row r="311" spans="1:8" x14ac:dyDescent="0.2">
      <c r="A311" s="1" t="s">
        <v>1578</v>
      </c>
    </row>
    <row r="312" spans="1:8" x14ac:dyDescent="0.2">
      <c r="A312" s="1" t="s">
        <v>1428</v>
      </c>
    </row>
    <row r="313" spans="1:8" x14ac:dyDescent="0.2">
      <c r="A313" s="1" t="s">
        <v>1429</v>
      </c>
    </row>
    <row r="315" spans="1:8" ht="17" thickBot="1" x14ac:dyDescent="0.25">
      <c r="E315" s="19"/>
      <c r="F315" s="19"/>
      <c r="G315" s="19" t="s">
        <v>893</v>
      </c>
      <c r="H315" s="19" t="s">
        <v>1360</v>
      </c>
    </row>
    <row r="316" spans="1:8" x14ac:dyDescent="0.2">
      <c r="A316" s="4"/>
      <c r="B316" s="5"/>
      <c r="C316" s="184">
        <v>44561</v>
      </c>
      <c r="D316" s="184">
        <v>44926</v>
      </c>
      <c r="E316" s="184">
        <v>45291</v>
      </c>
      <c r="F316" s="184">
        <v>45657</v>
      </c>
      <c r="G316" s="184">
        <v>46022</v>
      </c>
      <c r="H316" s="184">
        <v>46022</v>
      </c>
    </row>
    <row r="317" spans="1:8" x14ac:dyDescent="0.2">
      <c r="A317" s="7" t="s">
        <v>95</v>
      </c>
      <c r="C317" s="225">
        <v>400000</v>
      </c>
      <c r="D317" s="225">
        <v>400000</v>
      </c>
      <c r="E317" s="225">
        <v>400000</v>
      </c>
      <c r="F317" s="225">
        <v>400000</v>
      </c>
      <c r="G317" s="239">
        <f>F317</f>
        <v>400000</v>
      </c>
      <c r="H317" s="239">
        <f>G317</f>
        <v>400000</v>
      </c>
    </row>
    <row r="318" spans="1:8" x14ac:dyDescent="0.2">
      <c r="A318" s="7" t="s">
        <v>1453</v>
      </c>
      <c r="C318" s="185">
        <v>-72727.272727272721</v>
      </c>
      <c r="D318" s="185">
        <v>-138181.81818181818</v>
      </c>
      <c r="E318" s="185">
        <v>-196363.63636363635</v>
      </c>
      <c r="F318" s="185">
        <v>-247272.72727272726</v>
      </c>
      <c r="G318" s="230">
        <f>-D347</f>
        <v>-298077.92207792209</v>
      </c>
      <c r="H318" s="230">
        <f>G318</f>
        <v>-298077.92207792209</v>
      </c>
    </row>
    <row r="319" spans="1:8" x14ac:dyDescent="0.2">
      <c r="A319" s="7" t="s">
        <v>718</v>
      </c>
      <c r="C319" s="226">
        <v>0</v>
      </c>
      <c r="D319" s="226">
        <v>0</v>
      </c>
      <c r="E319" s="185">
        <v>-57583.799105575599</v>
      </c>
      <c r="F319" s="185">
        <v>-16727.272727272735</v>
      </c>
      <c r="G319" s="230">
        <f>-D342</f>
        <v>-11948.051948051954</v>
      </c>
      <c r="H319" s="230">
        <f>G319-D359</f>
        <v>-64014.210227993404</v>
      </c>
    </row>
    <row r="320" spans="1:8" x14ac:dyDescent="0.2">
      <c r="A320" s="7" t="s">
        <v>99</v>
      </c>
      <c r="C320" s="227">
        <v>327272.72727272729</v>
      </c>
      <c r="D320" s="227">
        <v>261818.18181818182</v>
      </c>
      <c r="E320" s="227">
        <v>146052.56453078805</v>
      </c>
      <c r="F320" s="227">
        <v>136000</v>
      </c>
      <c r="G320" s="232">
        <f>SUM(G317:G319)</f>
        <v>89974.02597402595</v>
      </c>
      <c r="H320" s="232">
        <f>SUM(H317:H319)</f>
        <v>37907.867694084503</v>
      </c>
    </row>
    <row r="321" spans="1:8" x14ac:dyDescent="0.2">
      <c r="A321" s="7"/>
      <c r="C321" s="9"/>
      <c r="D321" s="9"/>
      <c r="E321" s="9"/>
      <c r="F321" s="9"/>
      <c r="G321" s="240"/>
      <c r="H321" s="240"/>
    </row>
    <row r="322" spans="1:8" x14ac:dyDescent="0.2">
      <c r="A322" s="7" t="s">
        <v>100</v>
      </c>
      <c r="C322" s="185">
        <v>72727.272727272721</v>
      </c>
      <c r="D322" s="185">
        <v>65454.545454545456</v>
      </c>
      <c r="E322" s="185">
        <v>58181.818181818184</v>
      </c>
      <c r="F322" s="185">
        <v>36513.141132697012</v>
      </c>
      <c r="G322" s="230">
        <f>D334</f>
        <v>38857.142857142855</v>
      </c>
      <c r="H322" s="230">
        <f>G322</f>
        <v>38857.142857142855</v>
      </c>
    </row>
    <row r="323" spans="1:8" x14ac:dyDescent="0.2">
      <c r="A323" s="7" t="s">
        <v>891</v>
      </c>
      <c r="C323" s="9"/>
      <c r="D323" s="9"/>
      <c r="E323" s="185">
        <v>57583.799105575599</v>
      </c>
      <c r="F323" s="185"/>
      <c r="G323" s="241"/>
      <c r="H323" s="230">
        <f>D359</f>
        <v>52066.158279941446</v>
      </c>
    </row>
    <row r="324" spans="1:8" x14ac:dyDescent="0.2">
      <c r="A324" s="7" t="s">
        <v>809</v>
      </c>
      <c r="C324" s="9"/>
      <c r="D324" s="9"/>
      <c r="E324" s="185"/>
      <c r="F324" s="185">
        <v>26460.576601908964</v>
      </c>
      <c r="G324" s="241"/>
      <c r="H324" s="230">
        <v>0</v>
      </c>
    </row>
    <row r="325" spans="1:8" x14ac:dyDescent="0.2">
      <c r="A325" s="7" t="s">
        <v>1454</v>
      </c>
      <c r="C325" s="185">
        <v>3896.1038961038867</v>
      </c>
      <c r="D325" s="185">
        <v>5974.0259740259644</v>
      </c>
      <c r="E325" s="185">
        <v>20629.716010160133</v>
      </c>
      <c r="F325" s="185">
        <v>8857.1428571428551</v>
      </c>
      <c r="G325" s="241"/>
      <c r="H325" s="230">
        <f>F366</f>
        <v>19094.461647907447</v>
      </c>
    </row>
    <row r="326" spans="1:8" x14ac:dyDescent="0.2">
      <c r="A326" s="7" t="s">
        <v>1489</v>
      </c>
      <c r="C326" s="226">
        <v>0</v>
      </c>
      <c r="D326" s="226">
        <v>0</v>
      </c>
      <c r="E326" s="226">
        <v>0</v>
      </c>
      <c r="F326" s="226">
        <v>0</v>
      </c>
      <c r="G326" s="242"/>
      <c r="H326" s="231">
        <v>0</v>
      </c>
    </row>
    <row r="327" spans="1:8" x14ac:dyDescent="0.2">
      <c r="A327" s="7" t="s">
        <v>1362</v>
      </c>
      <c r="C327" s="185">
        <v>3896.1038961038867</v>
      </c>
      <c r="D327" s="185">
        <v>2077.9220779220777</v>
      </c>
      <c r="E327" s="185">
        <v>14655.690036134169</v>
      </c>
      <c r="F327" s="185"/>
      <c r="G327" s="241"/>
      <c r="H327" s="230">
        <f>D370</f>
        <v>10237.318790764592</v>
      </c>
    </row>
    <row r="328" spans="1:8" ht="17" thickBot="1" x14ac:dyDescent="0.25">
      <c r="A328" s="10" t="s">
        <v>1364</v>
      </c>
      <c r="B328" s="11"/>
      <c r="C328" s="12"/>
      <c r="D328" s="12"/>
      <c r="E328" s="12"/>
      <c r="F328" s="188">
        <v>11772.573153017278</v>
      </c>
      <c r="G328" s="255"/>
      <c r="H328" s="250"/>
    </row>
    <row r="330" spans="1:8" x14ac:dyDescent="0.2">
      <c r="A330" s="1" t="s">
        <v>1579</v>
      </c>
    </row>
    <row r="332" spans="1:8" x14ac:dyDescent="0.2">
      <c r="A332" s="1" t="s">
        <v>1580</v>
      </c>
      <c r="D332" s="1">
        <v>6</v>
      </c>
      <c r="F332" s="1" t="s">
        <v>1559</v>
      </c>
      <c r="H332" s="1" t="s">
        <v>1581</v>
      </c>
    </row>
    <row r="333" spans="1:8" x14ac:dyDescent="0.2">
      <c r="A333" s="1" t="s">
        <v>1582</v>
      </c>
      <c r="D333" s="1">
        <f>6*7/2</f>
        <v>21</v>
      </c>
      <c r="F333" s="1" t="s">
        <v>1583</v>
      </c>
    </row>
    <row r="334" spans="1:8" x14ac:dyDescent="0.2">
      <c r="A334" s="1" t="s">
        <v>1584</v>
      </c>
      <c r="D334" s="256">
        <f>F320*D332/D333</f>
        <v>38857.142857142855</v>
      </c>
      <c r="F334" s="1" t="s">
        <v>1585</v>
      </c>
    </row>
    <row r="336" spans="1:8" x14ac:dyDescent="0.2">
      <c r="A336" s="1" t="s">
        <v>1586</v>
      </c>
    </row>
    <row r="338" spans="1:6" x14ac:dyDescent="0.2">
      <c r="A338" s="1" t="s">
        <v>1587</v>
      </c>
    </row>
    <row r="340" spans="1:6" x14ac:dyDescent="0.2">
      <c r="A340" s="1" t="s">
        <v>1588</v>
      </c>
      <c r="D340" s="73">
        <f>-F319</f>
        <v>16727.272727272735</v>
      </c>
    </row>
    <row r="341" spans="1:6" x14ac:dyDescent="0.2">
      <c r="A341" s="1" t="s">
        <v>1589</v>
      </c>
      <c r="D341" s="256">
        <f>D340*D332/D333</f>
        <v>4779.2207792207819</v>
      </c>
      <c r="F341" s="1" t="s">
        <v>1590</v>
      </c>
    </row>
    <row r="342" spans="1:6" x14ac:dyDescent="0.2">
      <c r="A342" s="1" t="s">
        <v>1591</v>
      </c>
      <c r="D342" s="257">
        <f>D340-D341</f>
        <v>11948.051948051954</v>
      </c>
    </row>
    <row r="343" spans="1:6" x14ac:dyDescent="0.2">
      <c r="D343" s="245"/>
    </row>
    <row r="344" spans="1:6" x14ac:dyDescent="0.2">
      <c r="A344" s="1" t="s">
        <v>1592</v>
      </c>
      <c r="B344" s="1" t="s">
        <v>1593</v>
      </c>
      <c r="D344" s="245">
        <f>-F318</f>
        <v>247272.72727272726</v>
      </c>
    </row>
    <row r="345" spans="1:6" x14ac:dyDescent="0.2">
      <c r="B345" s="1" t="s">
        <v>1594</v>
      </c>
      <c r="D345" s="245">
        <f>D334</f>
        <v>38857.142857142855</v>
      </c>
    </row>
    <row r="346" spans="1:6" x14ac:dyDescent="0.2">
      <c r="B346" s="1" t="s">
        <v>1595</v>
      </c>
      <c r="D346" s="73">
        <f>D342</f>
        <v>11948.051948051954</v>
      </c>
      <c r="E346" s="104" t="s">
        <v>1660</v>
      </c>
    </row>
    <row r="347" spans="1:6" x14ac:dyDescent="0.2">
      <c r="B347" s="1" t="s">
        <v>1596</v>
      </c>
      <c r="D347" s="74">
        <f>SUM(D344:D346)</f>
        <v>298077.92207792209</v>
      </c>
      <c r="E347" s="1" t="s">
        <v>1597</v>
      </c>
    </row>
    <row r="349" spans="1:6" x14ac:dyDescent="0.2">
      <c r="A349" s="1" t="s">
        <v>1598</v>
      </c>
    </row>
    <row r="350" spans="1:6" x14ac:dyDescent="0.2">
      <c r="A350" s="1" t="s">
        <v>1599</v>
      </c>
    </row>
    <row r="352" spans="1:6" x14ac:dyDescent="0.2">
      <c r="A352" s="1" t="s">
        <v>1600</v>
      </c>
      <c r="D352" s="1">
        <v>5</v>
      </c>
      <c r="F352" s="1" t="s">
        <v>1601</v>
      </c>
    </row>
    <row r="353" spans="1:9" x14ac:dyDescent="0.2">
      <c r="A353" s="1" t="s">
        <v>1602</v>
      </c>
      <c r="D353" s="23">
        <v>10000</v>
      </c>
    </row>
    <row r="354" spans="1:9" x14ac:dyDescent="0.2">
      <c r="A354" s="1" t="s">
        <v>1519</v>
      </c>
      <c r="D354" s="24">
        <v>0.1</v>
      </c>
    </row>
    <row r="356" spans="1:9" x14ac:dyDescent="0.2">
      <c r="A356" s="1" t="s">
        <v>1603</v>
      </c>
      <c r="D356" s="258">
        <f>-PV(D354,D352,D353)</f>
        <v>37907.867694084503</v>
      </c>
      <c r="E356" s="1" t="s">
        <v>1604</v>
      </c>
    </row>
    <row r="357" spans="1:9" x14ac:dyDescent="0.2">
      <c r="A357" s="1" t="s">
        <v>1605</v>
      </c>
      <c r="D357" s="23">
        <f>G320</f>
        <v>89974.02597402595</v>
      </c>
    </row>
    <row r="359" spans="1:9" x14ac:dyDescent="0.2">
      <c r="A359" s="1" t="s">
        <v>1524</v>
      </c>
      <c r="D359" s="23">
        <f>D357-D356</f>
        <v>52066.158279941446</v>
      </c>
      <c r="F359" s="1" t="s">
        <v>1606</v>
      </c>
    </row>
    <row r="361" spans="1:9" x14ac:dyDescent="0.2">
      <c r="C361" s="40"/>
      <c r="D361" s="40" t="s">
        <v>1573</v>
      </c>
      <c r="E361" s="40"/>
      <c r="F361" s="40" t="s">
        <v>1607</v>
      </c>
    </row>
    <row r="362" spans="1:9" x14ac:dyDescent="0.2">
      <c r="B362" s="1" t="s">
        <v>99</v>
      </c>
      <c r="D362" s="21">
        <v>136000</v>
      </c>
      <c r="E362" s="19"/>
      <c r="F362" s="235">
        <f>H320</f>
        <v>37907.867694084503</v>
      </c>
      <c r="G362" s="47"/>
      <c r="H362" s="47"/>
    </row>
    <row r="363" spans="1:9" x14ac:dyDescent="0.2">
      <c r="B363" s="1" t="s">
        <v>1054</v>
      </c>
      <c r="D363" s="21">
        <v>171428.57142857142</v>
      </c>
      <c r="E363" s="19"/>
      <c r="F363" s="235">
        <f>400000/7*2</f>
        <v>114285.71428571429</v>
      </c>
      <c r="G363" s="47"/>
      <c r="H363" s="47" t="s">
        <v>1608</v>
      </c>
      <c r="I363" s="47"/>
    </row>
    <row r="364" spans="1:9" x14ac:dyDescent="0.2">
      <c r="B364" s="1" t="s">
        <v>1467</v>
      </c>
      <c r="D364" s="22">
        <v>35428.57142857142</v>
      </c>
      <c r="F364" s="236">
        <f>F363-F362</f>
        <v>76377.846591629786</v>
      </c>
    </row>
    <row r="365" spans="1:9" x14ac:dyDescent="0.2">
      <c r="B365" s="1" t="s">
        <v>1056</v>
      </c>
      <c r="D365" s="183">
        <v>0.25</v>
      </c>
      <c r="E365" s="19"/>
      <c r="F365" s="237">
        <v>0.25</v>
      </c>
    </row>
    <row r="366" spans="1:9" x14ac:dyDescent="0.2">
      <c r="B366" s="1" t="s">
        <v>1468</v>
      </c>
      <c r="D366" s="22">
        <v>8857.1428571428551</v>
      </c>
      <c r="F366" s="236">
        <f>F364*F365</f>
        <v>19094.461647907447</v>
      </c>
    </row>
    <row r="368" spans="1:9" x14ac:dyDescent="0.2">
      <c r="A368" s="1" t="s">
        <v>1609</v>
      </c>
    </row>
    <row r="369" spans="1:9" x14ac:dyDescent="0.2">
      <c r="B369" s="1" t="s">
        <v>1363</v>
      </c>
      <c r="D369" s="21">
        <f>D370</f>
        <v>10237.318790764592</v>
      </c>
    </row>
    <row r="370" spans="1:9" x14ac:dyDescent="0.2">
      <c r="B370" s="1" t="s">
        <v>1610</v>
      </c>
      <c r="D370" s="21">
        <f>F366-D366</f>
        <v>10237.318790764592</v>
      </c>
    </row>
    <row r="372" spans="1:9" x14ac:dyDescent="0.2">
      <c r="A372" s="3" t="s">
        <v>1611</v>
      </c>
      <c r="B372" s="3" t="s">
        <v>1612</v>
      </c>
      <c r="C372" s="41"/>
      <c r="D372" s="41"/>
      <c r="E372" s="41"/>
      <c r="F372" s="41"/>
      <c r="G372" s="41"/>
      <c r="H372" s="41"/>
    </row>
    <row r="373" spans="1:9" x14ac:dyDescent="0.2">
      <c r="A373" s="1" t="s">
        <v>1430</v>
      </c>
    </row>
    <row r="374" spans="1:9" x14ac:dyDescent="0.2">
      <c r="A374" s="1" t="s">
        <v>1431</v>
      </c>
    </row>
    <row r="375" spans="1:9" x14ac:dyDescent="0.2">
      <c r="A375" s="1" t="s">
        <v>1432</v>
      </c>
    </row>
    <row r="377" spans="1:9" ht="17" thickBot="1" x14ac:dyDescent="0.25">
      <c r="E377" s="19"/>
      <c r="F377" s="19"/>
      <c r="G377" s="19"/>
      <c r="H377" s="19" t="s">
        <v>893</v>
      </c>
      <c r="I377" s="1" t="s">
        <v>1360</v>
      </c>
    </row>
    <row r="378" spans="1:9" x14ac:dyDescent="0.2">
      <c r="A378" s="4"/>
      <c r="B378" s="5"/>
      <c r="C378" s="184">
        <v>44561</v>
      </c>
      <c r="D378" s="184">
        <v>44926</v>
      </c>
      <c r="E378" s="184">
        <v>45291</v>
      </c>
      <c r="F378" s="184">
        <v>45657</v>
      </c>
      <c r="G378" s="184">
        <v>46022</v>
      </c>
      <c r="H378" s="184">
        <v>46387</v>
      </c>
      <c r="I378" s="184">
        <v>42735</v>
      </c>
    </row>
    <row r="379" spans="1:9" x14ac:dyDescent="0.2">
      <c r="A379" s="7" t="s">
        <v>95</v>
      </c>
      <c r="C379" s="225">
        <v>400000</v>
      </c>
      <c r="D379" s="225">
        <v>400000</v>
      </c>
      <c r="E379" s="225">
        <v>400000</v>
      </c>
      <c r="F379" s="225">
        <v>400000</v>
      </c>
      <c r="G379" s="225">
        <v>400000</v>
      </c>
      <c r="H379" s="239">
        <f>G379</f>
        <v>400000</v>
      </c>
      <c r="I379" s="239">
        <f>H379</f>
        <v>400000</v>
      </c>
    </row>
    <row r="380" spans="1:9" x14ac:dyDescent="0.2">
      <c r="A380" s="7" t="s">
        <v>1453</v>
      </c>
      <c r="C380" s="185">
        <v>-72727.272727272721</v>
      </c>
      <c r="D380" s="185">
        <v>-138181.81818181818</v>
      </c>
      <c r="E380" s="185">
        <v>-196363.63636363635</v>
      </c>
      <c r="F380" s="185">
        <v>-247272.72727272726</v>
      </c>
      <c r="G380" s="185">
        <v>-298077.92207792209</v>
      </c>
      <c r="H380" s="230">
        <f>-D408</f>
        <v>-332051.99215391988</v>
      </c>
      <c r="I380" s="230">
        <f>H380</f>
        <v>-332051.99215391988</v>
      </c>
    </row>
    <row r="381" spans="1:9" x14ac:dyDescent="0.2">
      <c r="A381" s="7" t="s">
        <v>718</v>
      </c>
      <c r="C381" s="226">
        <v>0</v>
      </c>
      <c r="D381" s="226">
        <v>0</v>
      </c>
      <c r="E381" s="185">
        <v>-57583.799105575599</v>
      </c>
      <c r="F381" s="185">
        <v>-16727.272727272735</v>
      </c>
      <c r="G381" s="185">
        <v>-64014.210227993404</v>
      </c>
      <c r="H381" s="230">
        <f>-D402</f>
        <v>-42675.929924002194</v>
      </c>
      <c r="I381" s="230">
        <v>0</v>
      </c>
    </row>
    <row r="382" spans="1:9" x14ac:dyDescent="0.2">
      <c r="A382" s="7" t="s">
        <v>99</v>
      </c>
      <c r="C382" s="227">
        <v>327272.72727272729</v>
      </c>
      <c r="D382" s="227">
        <v>261818.18181818182</v>
      </c>
      <c r="E382" s="227">
        <v>146052.56453078805</v>
      </c>
      <c r="F382" s="227">
        <v>136000</v>
      </c>
      <c r="G382" s="227">
        <v>37907.867694084503</v>
      </c>
      <c r="H382" s="232">
        <f>SUM(H379:H381)</f>
        <v>25272.077922077922</v>
      </c>
      <c r="I382" s="232">
        <f>I379+I380</f>
        <v>67948.007846080116</v>
      </c>
    </row>
    <row r="383" spans="1:9" x14ac:dyDescent="0.2">
      <c r="A383" s="7"/>
      <c r="C383" s="9"/>
      <c r="D383" s="9"/>
      <c r="E383" s="9"/>
      <c r="F383" s="9"/>
      <c r="G383" s="9"/>
      <c r="H383" s="259"/>
      <c r="I383" s="240"/>
    </row>
    <row r="384" spans="1:9" x14ac:dyDescent="0.2">
      <c r="A384" s="7" t="s">
        <v>100</v>
      </c>
      <c r="C384" s="185">
        <v>72727.272727272721</v>
      </c>
      <c r="D384" s="185">
        <v>65454.545454545456</v>
      </c>
      <c r="E384" s="185">
        <v>58181.818181818184</v>
      </c>
      <c r="F384" s="185">
        <v>36513.141132697012</v>
      </c>
      <c r="G384" s="185">
        <v>38857.142857142855</v>
      </c>
      <c r="H384" s="230">
        <f>D398</f>
        <v>12636</v>
      </c>
      <c r="I384" s="230">
        <f>H384</f>
        <v>12636</v>
      </c>
    </row>
    <row r="385" spans="1:9" x14ac:dyDescent="0.2">
      <c r="A385" s="7" t="s">
        <v>891</v>
      </c>
      <c r="C385" s="9"/>
      <c r="D385" s="9"/>
      <c r="E385" s="185">
        <v>57583.799105575599</v>
      </c>
      <c r="F385" s="185"/>
      <c r="G385" s="185">
        <v>52066.158279941446</v>
      </c>
      <c r="H385" s="241"/>
      <c r="I385" s="230"/>
    </row>
    <row r="386" spans="1:9" x14ac:dyDescent="0.2">
      <c r="A386" s="7" t="s">
        <v>809</v>
      </c>
      <c r="C386" s="9"/>
      <c r="D386" s="9"/>
      <c r="E386" s="185"/>
      <c r="F386" s="185">
        <v>26460.576601908964</v>
      </c>
      <c r="G386" s="185">
        <v>0</v>
      </c>
      <c r="H386" s="241"/>
      <c r="I386" s="230">
        <f>-H381</f>
        <v>42675.929924002194</v>
      </c>
    </row>
    <row r="387" spans="1:9" x14ac:dyDescent="0.2">
      <c r="A387" s="7" t="s">
        <v>1454</v>
      </c>
      <c r="C387" s="185">
        <v>3896.1038961038867</v>
      </c>
      <c r="D387" s="185">
        <v>5974.0259740259644</v>
      </c>
      <c r="E387" s="185">
        <v>20629.716010160133</v>
      </c>
      <c r="F387" s="185">
        <v>8857.1428571428551</v>
      </c>
      <c r="G387" s="185">
        <v>19094.461647907447</v>
      </c>
      <c r="H387" s="241"/>
      <c r="I387" s="230"/>
    </row>
    <row r="388" spans="1:9" x14ac:dyDescent="0.2">
      <c r="A388" s="7" t="s">
        <v>1489</v>
      </c>
      <c r="C388" s="226">
        <v>0</v>
      </c>
      <c r="D388" s="226">
        <v>0</v>
      </c>
      <c r="E388" s="226">
        <v>0</v>
      </c>
      <c r="F388" s="226">
        <v>0</v>
      </c>
      <c r="G388" s="226">
        <v>0</v>
      </c>
      <c r="H388" s="242"/>
      <c r="I388" s="230">
        <f>-E428</f>
        <v>2701.2876758057428</v>
      </c>
    </row>
    <row r="389" spans="1:9" x14ac:dyDescent="0.2">
      <c r="A389" s="7" t="s">
        <v>1362</v>
      </c>
      <c r="C389" s="185">
        <v>3896.1038961038867</v>
      </c>
      <c r="D389" s="185">
        <v>2077.9220779220777</v>
      </c>
      <c r="E389" s="185">
        <v>14655.690036134169</v>
      </c>
      <c r="F389" s="185"/>
      <c r="G389" s="185">
        <v>10237.318790764592</v>
      </c>
      <c r="H389" s="241"/>
      <c r="I389" s="230"/>
    </row>
    <row r="390" spans="1:9" ht="17" thickBot="1" x14ac:dyDescent="0.25">
      <c r="A390" s="10" t="s">
        <v>1364</v>
      </c>
      <c r="B390" s="11"/>
      <c r="C390" s="12"/>
      <c r="D390" s="12"/>
      <c r="E390" s="12"/>
      <c r="F390" s="188">
        <v>11772.573153017278</v>
      </c>
      <c r="G390" s="188"/>
      <c r="H390" s="255"/>
      <c r="I390" s="250">
        <f>D440</f>
        <v>21795.749323713189</v>
      </c>
    </row>
    <row r="392" spans="1:9" x14ac:dyDescent="0.2">
      <c r="A392" s="1" t="s">
        <v>1613</v>
      </c>
    </row>
    <row r="393" spans="1:9" x14ac:dyDescent="0.2">
      <c r="A393" s="1" t="s">
        <v>1614</v>
      </c>
    </row>
    <row r="395" spans="1:9" x14ac:dyDescent="0.2">
      <c r="A395" s="1" t="s">
        <v>1615</v>
      </c>
      <c r="D395" s="23">
        <f>G382</f>
        <v>37907.867694084503</v>
      </c>
    </row>
    <row r="396" spans="1:9" x14ac:dyDescent="0.2">
      <c r="A396" s="1" t="s">
        <v>1616</v>
      </c>
      <c r="D396" s="1">
        <v>5</v>
      </c>
      <c r="F396" s="1" t="s">
        <v>1601</v>
      </c>
    </row>
    <row r="397" spans="1:9" x14ac:dyDescent="0.2">
      <c r="A397" s="1" t="s">
        <v>1537</v>
      </c>
      <c r="D397" s="1">
        <v>15</v>
      </c>
      <c r="F397" s="1" t="s">
        <v>1617</v>
      </c>
    </row>
    <row r="398" spans="1:9" x14ac:dyDescent="0.2">
      <c r="A398" s="1" t="s">
        <v>1618</v>
      </c>
      <c r="D398" s="23">
        <f>37908*5/D397</f>
        <v>12636</v>
      </c>
      <c r="F398" s="1" t="s">
        <v>1619</v>
      </c>
      <c r="G398" s="1" t="s">
        <v>1620</v>
      </c>
    </row>
    <row r="400" spans="1:9" x14ac:dyDescent="0.2">
      <c r="A400" s="1" t="s">
        <v>1621</v>
      </c>
    </row>
    <row r="401" spans="1:6" x14ac:dyDescent="0.2">
      <c r="A401" s="1" t="s">
        <v>1622</v>
      </c>
      <c r="D401" s="23">
        <f>-G381*5/15</f>
        <v>21338.070075997803</v>
      </c>
      <c r="F401" s="1" t="s">
        <v>1623</v>
      </c>
    </row>
    <row r="402" spans="1:6" x14ac:dyDescent="0.2">
      <c r="A402" s="1" t="s">
        <v>1624</v>
      </c>
      <c r="D402" s="23">
        <f>64014-D401</f>
        <v>42675.929924002194</v>
      </c>
      <c r="F402" s="1" t="s">
        <v>1625</v>
      </c>
    </row>
    <row r="404" spans="1:6" x14ac:dyDescent="0.2">
      <c r="A404" s="1" t="s">
        <v>1626</v>
      </c>
    </row>
    <row r="405" spans="1:6" x14ac:dyDescent="0.2">
      <c r="A405" s="1" t="s">
        <v>1627</v>
      </c>
      <c r="D405" s="73">
        <f>-G380</f>
        <v>298077.92207792209</v>
      </c>
    </row>
    <row r="406" spans="1:6" x14ac:dyDescent="0.2">
      <c r="A406" s="1" t="s">
        <v>1628</v>
      </c>
      <c r="D406" s="23">
        <f>D398</f>
        <v>12636</v>
      </c>
    </row>
    <row r="407" spans="1:6" x14ac:dyDescent="0.2">
      <c r="A407" s="1" t="s">
        <v>1622</v>
      </c>
      <c r="D407" s="23">
        <f>D401</f>
        <v>21338.070075997803</v>
      </c>
    </row>
    <row r="408" spans="1:6" x14ac:dyDescent="0.2">
      <c r="A408" s="1" t="s">
        <v>1629</v>
      </c>
      <c r="D408" s="74">
        <f>SUM(D405:D407)</f>
        <v>332051.99215391988</v>
      </c>
    </row>
    <row r="410" spans="1:6" x14ac:dyDescent="0.2">
      <c r="A410" s="1" t="s">
        <v>1630</v>
      </c>
    </row>
    <row r="411" spans="1:6" x14ac:dyDescent="0.2">
      <c r="A411" s="1" t="s">
        <v>1631</v>
      </c>
      <c r="D411" s="23">
        <v>220000</v>
      </c>
      <c r="E411" s="1" t="s">
        <v>1632</v>
      </c>
    </row>
    <row r="412" spans="1:6" x14ac:dyDescent="0.2">
      <c r="A412" s="1" t="s">
        <v>922</v>
      </c>
      <c r="D412" s="1" t="s">
        <v>1633</v>
      </c>
    </row>
    <row r="413" spans="1:6" x14ac:dyDescent="0.2">
      <c r="A413" s="1" t="s">
        <v>1634</v>
      </c>
      <c r="D413" s="260">
        <f>D411</f>
        <v>220000</v>
      </c>
    </row>
    <row r="415" spans="1:6" x14ac:dyDescent="0.2">
      <c r="A415" s="1" t="s">
        <v>1635</v>
      </c>
      <c r="D415" s="23">
        <f>H382</f>
        <v>25272.077922077922</v>
      </c>
    </row>
    <row r="417" spans="1:7" x14ac:dyDescent="0.2">
      <c r="A417" s="1" t="s">
        <v>1563</v>
      </c>
      <c r="D417" s="23">
        <f>D413-D415</f>
        <v>194727.92207792209</v>
      </c>
      <c r="F417" s="1" t="s">
        <v>1636</v>
      </c>
    </row>
    <row r="419" spans="1:7" x14ac:dyDescent="0.2">
      <c r="A419" s="1" t="s">
        <v>1637</v>
      </c>
      <c r="D419" s="23">
        <f>D402</f>
        <v>42675.929924002194</v>
      </c>
    </row>
    <row r="421" spans="1:7" x14ac:dyDescent="0.2">
      <c r="A421" s="1" t="s">
        <v>1638</v>
      </c>
      <c r="F421" s="23">
        <f>D419</f>
        <v>42675.929924002194</v>
      </c>
    </row>
    <row r="423" spans="1:7" x14ac:dyDescent="0.2">
      <c r="B423" s="40"/>
      <c r="C423" s="40" t="s">
        <v>1607</v>
      </c>
      <c r="D423" s="40"/>
      <c r="E423" s="40" t="s">
        <v>1639</v>
      </c>
    </row>
    <row r="424" spans="1:7" x14ac:dyDescent="0.2">
      <c r="A424" s="1" t="s">
        <v>99</v>
      </c>
      <c r="C424" s="21">
        <f>G382</f>
        <v>37907.867694084503</v>
      </c>
      <c r="D424" s="19"/>
      <c r="E424" s="235">
        <f>I382</f>
        <v>67948.007846080116</v>
      </c>
    </row>
    <row r="425" spans="1:7" x14ac:dyDescent="0.2">
      <c r="A425" s="1" t="s">
        <v>1054</v>
      </c>
      <c r="C425" s="21">
        <f>400000/7*2</f>
        <v>114285.71428571429</v>
      </c>
      <c r="D425" s="19"/>
      <c r="E425" s="235">
        <f>400000/7*1</f>
        <v>57142.857142857145</v>
      </c>
      <c r="G425" s="1" t="s">
        <v>1640</v>
      </c>
    </row>
    <row r="426" spans="1:7" x14ac:dyDescent="0.2">
      <c r="A426" s="1" t="s">
        <v>1467</v>
      </c>
      <c r="C426" s="22">
        <f>C425-C424</f>
        <v>76377.846591629786</v>
      </c>
      <c r="D426" s="1" t="s">
        <v>1641</v>
      </c>
      <c r="E426" s="236">
        <f>E425-E424</f>
        <v>-10805.150703222971</v>
      </c>
    </row>
    <row r="427" spans="1:7" x14ac:dyDescent="0.2">
      <c r="A427" s="1" t="s">
        <v>1056</v>
      </c>
      <c r="C427" s="183">
        <v>0.25</v>
      </c>
      <c r="D427" s="19"/>
      <c r="E427" s="237">
        <v>0.25</v>
      </c>
    </row>
    <row r="428" spans="1:7" x14ac:dyDescent="0.2">
      <c r="A428" s="1" t="s">
        <v>1468</v>
      </c>
      <c r="C428" s="22">
        <f>C426*C427</f>
        <v>19094.461647907447</v>
      </c>
      <c r="D428" s="1" t="s">
        <v>1489</v>
      </c>
      <c r="E428" s="236">
        <f>E426*E427</f>
        <v>-2701.2876758057428</v>
      </c>
    </row>
    <row r="430" spans="1:7" x14ac:dyDescent="0.2">
      <c r="A430" s="1" t="s">
        <v>1642</v>
      </c>
      <c r="C430" s="21"/>
    </row>
    <row r="431" spans="1:7" x14ac:dyDescent="0.2">
      <c r="A431" s="1" t="s">
        <v>1643</v>
      </c>
      <c r="C431" s="21"/>
    </row>
    <row r="432" spans="1:7" x14ac:dyDescent="0.2">
      <c r="A432" s="1" t="s">
        <v>1644</v>
      </c>
    </row>
    <row r="433" spans="1:4" x14ac:dyDescent="0.2">
      <c r="A433" s="1" t="s">
        <v>1645</v>
      </c>
    </row>
    <row r="434" spans="1:4" x14ac:dyDescent="0.2">
      <c r="A434" s="1" t="s">
        <v>1646</v>
      </c>
    </row>
    <row r="435" spans="1:4" x14ac:dyDescent="0.2">
      <c r="A435" s="1" t="s">
        <v>1647</v>
      </c>
    </row>
    <row r="437" spans="1:4" x14ac:dyDescent="0.2">
      <c r="A437" s="1" t="s">
        <v>1648</v>
      </c>
    </row>
    <row r="438" spans="1:4" x14ac:dyDescent="0.2">
      <c r="A438" s="1" t="s">
        <v>1649</v>
      </c>
    </row>
    <row r="440" spans="1:4" x14ac:dyDescent="0.2">
      <c r="B440" s="1" t="s">
        <v>1650</v>
      </c>
      <c r="D440" s="73">
        <f>D441+D442</f>
        <v>21795.749323713189</v>
      </c>
    </row>
    <row r="441" spans="1:4" x14ac:dyDescent="0.2">
      <c r="B441" s="1" t="s">
        <v>1370</v>
      </c>
      <c r="D441" s="73">
        <f>C428</f>
        <v>19094.461647907447</v>
      </c>
    </row>
    <row r="442" spans="1:4" x14ac:dyDescent="0.2">
      <c r="B442" s="1" t="s">
        <v>1651</v>
      </c>
      <c r="D442" s="73">
        <f>-E428</f>
        <v>2701.2876758057428</v>
      </c>
    </row>
  </sheetData>
  <mergeCells count="8">
    <mergeCell ref="D258:E258"/>
    <mergeCell ref="D259:E259"/>
    <mergeCell ref="G58:H58"/>
    <mergeCell ref="F59:G59"/>
    <mergeCell ref="E60:F60"/>
    <mergeCell ref="G255:H255"/>
    <mergeCell ref="F256:G256"/>
    <mergeCell ref="E257:F257"/>
  </mergeCells>
  <pageMargins left="0.7" right="0.7" top="0.75" bottom="0.75" header="0.3" footer="0.3"/>
  <ignoredErrors>
    <ignoredError sqref="N21 P19 P21" formula="1"/>
  </ignoredError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CD9151-5671-5D4D-8590-FC4F6787929A}">
  <dimension ref="A1:X116"/>
  <sheetViews>
    <sheetView rightToLeft="1" zoomScale="241" workbookViewId="0">
      <selection activeCell="A2" sqref="A2"/>
    </sheetView>
  </sheetViews>
  <sheetFormatPr baseColWidth="10" defaultRowHeight="16" x14ac:dyDescent="0.2"/>
  <cols>
    <col min="1" max="5" width="10.83203125" style="1"/>
    <col min="6" max="6" width="11.6640625" style="1" bestFit="1" customWidth="1"/>
    <col min="7" max="16384" width="10.83203125" style="1"/>
  </cols>
  <sheetData>
    <row r="1" spans="1:13" x14ac:dyDescent="0.2">
      <c r="A1" s="3" t="s">
        <v>1770</v>
      </c>
      <c r="B1" s="41"/>
      <c r="C1" s="41"/>
      <c r="D1" s="41"/>
      <c r="E1" s="41"/>
      <c r="F1" s="41"/>
      <c r="G1" s="41"/>
      <c r="H1" s="41"/>
    </row>
    <row r="2" spans="1:13" ht="17" thickBot="1" x14ac:dyDescent="0.25"/>
    <row r="3" spans="1:13" x14ac:dyDescent="0.2">
      <c r="A3" s="4" t="s">
        <v>1661</v>
      </c>
      <c r="B3" s="5"/>
      <c r="C3" s="5"/>
      <c r="D3" s="5"/>
      <c r="E3" s="5"/>
      <c r="F3" s="5"/>
      <c r="G3" s="5"/>
      <c r="H3" s="6"/>
    </row>
    <row r="4" spans="1:13" x14ac:dyDescent="0.2">
      <c r="A4" s="7" t="s">
        <v>1662</v>
      </c>
      <c r="H4" s="9"/>
    </row>
    <row r="5" spans="1:13" x14ac:dyDescent="0.2">
      <c r="A5" s="7" t="s">
        <v>1663</v>
      </c>
      <c r="H5" s="9"/>
    </row>
    <row r="6" spans="1:13" x14ac:dyDescent="0.2">
      <c r="A6" s="7" t="s">
        <v>1664</v>
      </c>
      <c r="H6" s="9"/>
    </row>
    <row r="7" spans="1:13" ht="17" thickBot="1" x14ac:dyDescent="0.25">
      <c r="A7" s="10" t="s">
        <v>1665</v>
      </c>
      <c r="B7" s="11"/>
      <c r="C7" s="11"/>
      <c r="D7" s="11"/>
      <c r="E7" s="11"/>
      <c r="F7" s="11"/>
      <c r="G7" s="11"/>
      <c r="H7" s="12"/>
    </row>
    <row r="9" spans="1:13" x14ac:dyDescent="0.2">
      <c r="A9" s="261" t="s">
        <v>1666</v>
      </c>
      <c r="B9" s="261"/>
      <c r="C9" s="261"/>
      <c r="D9" s="261"/>
      <c r="E9" s="261"/>
      <c r="F9" s="261"/>
      <c r="G9" s="261"/>
      <c r="H9" s="261"/>
    </row>
    <row r="10" spans="1:13" x14ac:dyDescent="0.2">
      <c r="A10" s="1" t="s">
        <v>1667</v>
      </c>
    </row>
    <row r="11" spans="1:13" x14ac:dyDescent="0.2">
      <c r="A11" s="1" t="s">
        <v>1668</v>
      </c>
    </row>
    <row r="12" spans="1:13" x14ac:dyDescent="0.2">
      <c r="A12" s="1" t="s">
        <v>1669</v>
      </c>
    </row>
    <row r="14" spans="1:13" x14ac:dyDescent="0.2">
      <c r="A14" s="94" t="s">
        <v>1670</v>
      </c>
      <c r="B14" s="94"/>
      <c r="C14" s="94"/>
      <c r="D14" s="94"/>
      <c r="E14" s="94"/>
      <c r="M14" s="21"/>
    </row>
    <row r="15" spans="1:13" x14ac:dyDescent="0.2">
      <c r="A15" s="1" t="s">
        <v>1671</v>
      </c>
      <c r="M15" s="21"/>
    </row>
    <row r="16" spans="1:13" x14ac:dyDescent="0.2">
      <c r="A16" s="1" t="s">
        <v>1672</v>
      </c>
    </row>
    <row r="17" spans="1:21" x14ac:dyDescent="0.2">
      <c r="A17" s="1" t="s">
        <v>1673</v>
      </c>
    </row>
    <row r="18" spans="1:21" x14ac:dyDescent="0.2">
      <c r="A18" s="1" t="s">
        <v>1674</v>
      </c>
    </row>
    <row r="19" spans="1:21" x14ac:dyDescent="0.2">
      <c r="A19" s="1" t="s">
        <v>1675</v>
      </c>
    </row>
    <row r="20" spans="1:21" x14ac:dyDescent="0.2">
      <c r="A20" s="1" t="s">
        <v>1676</v>
      </c>
    </row>
    <row r="21" spans="1:21" x14ac:dyDescent="0.2">
      <c r="A21" s="1" t="s">
        <v>1677</v>
      </c>
    </row>
    <row r="22" spans="1:21" x14ac:dyDescent="0.2">
      <c r="A22" s="1" t="s">
        <v>1678</v>
      </c>
    </row>
    <row r="23" spans="1:21" x14ac:dyDescent="0.2">
      <c r="A23" s="1" t="s">
        <v>1679</v>
      </c>
      <c r="M23" s="73"/>
    </row>
    <row r="24" spans="1:21" x14ac:dyDescent="0.2">
      <c r="A24" s="1" t="s">
        <v>1680</v>
      </c>
      <c r="K24" s="41"/>
      <c r="L24" s="19" t="s">
        <v>927</v>
      </c>
      <c r="M24" s="69" t="s">
        <v>1681</v>
      </c>
      <c r="N24" s="19" t="s">
        <v>927</v>
      </c>
      <c r="O24" s="69" t="s">
        <v>1681</v>
      </c>
      <c r="P24" s="19" t="s">
        <v>927</v>
      </c>
      <c r="Q24" s="69" t="s">
        <v>1681</v>
      </c>
      <c r="R24" s="19" t="s">
        <v>927</v>
      </c>
      <c r="S24" s="69" t="s">
        <v>1681</v>
      </c>
      <c r="T24" s="19" t="s">
        <v>299</v>
      </c>
      <c r="U24" s="69" t="s">
        <v>659</v>
      </c>
    </row>
    <row r="25" spans="1:21" x14ac:dyDescent="0.2">
      <c r="K25" s="206">
        <v>44196</v>
      </c>
      <c r="L25" s="36">
        <v>44561</v>
      </c>
      <c r="M25" s="206">
        <v>44561</v>
      </c>
      <c r="N25" s="36">
        <v>44926</v>
      </c>
      <c r="O25" s="206">
        <v>44926</v>
      </c>
      <c r="P25" s="36">
        <v>45291</v>
      </c>
      <c r="Q25" s="206">
        <v>45291</v>
      </c>
      <c r="R25" s="36">
        <v>45657</v>
      </c>
      <c r="S25" s="206">
        <v>45657</v>
      </c>
      <c r="T25" s="36">
        <v>45838</v>
      </c>
      <c r="U25" s="206">
        <v>46022</v>
      </c>
    </row>
    <row r="26" spans="1:21" x14ac:dyDescent="0.2">
      <c r="A26" s="94" t="s">
        <v>1682</v>
      </c>
      <c r="B26" s="94"/>
      <c r="C26" s="94"/>
      <c r="D26" s="94"/>
      <c r="E26" s="94"/>
      <c r="J26" s="1" t="s">
        <v>95</v>
      </c>
      <c r="K26" s="21">
        <v>500000</v>
      </c>
      <c r="L26" s="21">
        <f t="shared" ref="L26:T26" si="0">K26</f>
        <v>500000</v>
      </c>
      <c r="M26" s="21">
        <f t="shared" si="0"/>
        <v>500000</v>
      </c>
      <c r="N26" s="21">
        <f t="shared" si="0"/>
        <v>500000</v>
      </c>
      <c r="O26" s="21">
        <f t="shared" si="0"/>
        <v>500000</v>
      </c>
      <c r="P26" s="21">
        <f t="shared" si="0"/>
        <v>500000</v>
      </c>
      <c r="Q26" s="21">
        <f t="shared" si="0"/>
        <v>500000</v>
      </c>
      <c r="R26" s="21">
        <f t="shared" si="0"/>
        <v>500000</v>
      </c>
      <c r="S26" s="21">
        <f t="shared" si="0"/>
        <v>500000</v>
      </c>
      <c r="T26" s="21">
        <f t="shared" si="0"/>
        <v>500000</v>
      </c>
      <c r="U26" s="21">
        <v>0</v>
      </c>
    </row>
    <row r="27" spans="1:21" x14ac:dyDescent="0.2">
      <c r="A27" s="1" t="s">
        <v>1683</v>
      </c>
      <c r="J27" s="1" t="s">
        <v>96</v>
      </c>
      <c r="K27" s="21">
        <f>K31</f>
        <v>56250</v>
      </c>
      <c r="L27" s="21">
        <f>K27+L31</f>
        <v>108750</v>
      </c>
      <c r="M27" s="21">
        <f>L27</f>
        <v>108750</v>
      </c>
      <c r="N27" s="21">
        <f>M27+M80</f>
        <v>157489.98004203924</v>
      </c>
      <c r="O27" s="21">
        <f>N27</f>
        <v>157489.98004203924</v>
      </c>
      <c r="P27" s="21">
        <f>O27+M96</f>
        <v>210673.6164056756</v>
      </c>
      <c r="Q27" s="21">
        <f>P27</f>
        <v>210673.6164056756</v>
      </c>
      <c r="R27" s="21">
        <f>Q27+M107</f>
        <v>258538.89312454048</v>
      </c>
      <c r="S27" s="21">
        <f>R27</f>
        <v>258538.89312454048</v>
      </c>
      <c r="T27" s="21">
        <f>S27+M116</f>
        <v>279812.33756898495</v>
      </c>
      <c r="U27" s="21">
        <v>0</v>
      </c>
    </row>
    <row r="28" spans="1:21" x14ac:dyDescent="0.2">
      <c r="A28" s="1" t="s">
        <v>1684</v>
      </c>
      <c r="J28" s="1" t="s">
        <v>718</v>
      </c>
      <c r="K28" s="21"/>
      <c r="L28" s="21"/>
      <c r="M28" s="21">
        <f>M32</f>
        <v>61651.860294274637</v>
      </c>
      <c r="N28" s="21">
        <f>M28-M79</f>
        <v>52844.451680806829</v>
      </c>
      <c r="O28" s="21">
        <f>N28+O32</f>
        <v>90510.019957960772</v>
      </c>
      <c r="P28" s="21">
        <f>O28-M95</f>
        <v>74053.65632159714</v>
      </c>
      <c r="Q28" s="21">
        <f>P28-Q33</f>
        <v>13326.383594324405</v>
      </c>
      <c r="R28" s="21">
        <f>Q28-M106</f>
        <v>10661.106875459524</v>
      </c>
      <c r="S28" s="21">
        <v>0</v>
      </c>
      <c r="T28" s="21">
        <v>0</v>
      </c>
      <c r="U28" s="21">
        <v>0</v>
      </c>
    </row>
    <row r="29" spans="1:21" x14ac:dyDescent="0.2">
      <c r="A29" s="1" t="s">
        <v>1685</v>
      </c>
      <c r="J29" s="1" t="s">
        <v>99</v>
      </c>
      <c r="K29" s="22">
        <f>K26-K27</f>
        <v>443750</v>
      </c>
      <c r="L29" s="22">
        <f>L26-L27</f>
        <v>391250</v>
      </c>
      <c r="M29" s="22">
        <f>H42</f>
        <v>329598.13970572536</v>
      </c>
      <c r="N29" s="22">
        <f>N26-N27-N28</f>
        <v>289665.56827715394</v>
      </c>
      <c r="O29" s="22">
        <f>H43</f>
        <v>252000</v>
      </c>
      <c r="P29" s="22">
        <f>P26-P27-P28</f>
        <v>215272.72727272726</v>
      </c>
      <c r="Q29" s="22">
        <f>H44</f>
        <v>276000</v>
      </c>
      <c r="R29" s="22">
        <f>R26-R27-R28</f>
        <v>230800</v>
      </c>
      <c r="S29" s="22">
        <f>S26-S27-S28</f>
        <v>241461.10687545952</v>
      </c>
      <c r="T29" s="22">
        <f>T26-T27</f>
        <v>220187.66243101505</v>
      </c>
      <c r="U29" s="22">
        <v>0</v>
      </c>
    </row>
    <row r="30" spans="1:21" x14ac:dyDescent="0.2">
      <c r="A30" s="1" t="s">
        <v>1686</v>
      </c>
      <c r="K30" s="21"/>
      <c r="L30" s="21"/>
      <c r="M30" s="73"/>
      <c r="N30" s="21"/>
      <c r="O30" s="73"/>
      <c r="P30" s="21"/>
      <c r="Q30" s="73"/>
      <c r="R30" s="21"/>
      <c r="S30" s="73"/>
      <c r="T30" s="73"/>
      <c r="U30" s="73"/>
    </row>
    <row r="31" spans="1:21" x14ac:dyDescent="0.2">
      <c r="A31" s="1" t="s">
        <v>1687</v>
      </c>
      <c r="J31" s="1" t="s">
        <v>100</v>
      </c>
      <c r="K31" s="21">
        <f>M58</f>
        <v>56250</v>
      </c>
      <c r="L31" s="21">
        <f>M59</f>
        <v>52500</v>
      </c>
      <c r="M31" s="21">
        <f>L31</f>
        <v>52500</v>
      </c>
      <c r="N31" s="21">
        <f>M71</f>
        <v>39932.571428571428</v>
      </c>
      <c r="O31" s="21">
        <f>N31</f>
        <v>39932.571428571428</v>
      </c>
      <c r="P31" s="21">
        <f>M91</f>
        <v>36727.272727272728</v>
      </c>
      <c r="Q31" s="21">
        <f>P31</f>
        <v>36727.272727272728</v>
      </c>
      <c r="R31" s="21">
        <f>M102</f>
        <v>45200</v>
      </c>
      <c r="S31" s="21">
        <f>R31</f>
        <v>45200</v>
      </c>
      <c r="T31" s="21">
        <f>M116</f>
        <v>21273.444444444445</v>
      </c>
      <c r="U31" s="21">
        <f>T31</f>
        <v>21273.444444444445</v>
      </c>
    </row>
    <row r="32" spans="1:21" x14ac:dyDescent="0.2">
      <c r="J32" s="1" t="s">
        <v>891</v>
      </c>
      <c r="K32" s="21"/>
      <c r="L32" s="21"/>
      <c r="M32" s="21">
        <f>L29-M29</f>
        <v>61651.860294274637</v>
      </c>
      <c r="N32" s="21"/>
      <c r="O32" s="21">
        <f>N29-O29</f>
        <v>37665.568277153943</v>
      </c>
      <c r="P32" s="21"/>
      <c r="Q32" s="21"/>
      <c r="R32" s="21"/>
      <c r="S32" s="21"/>
      <c r="T32" s="21"/>
      <c r="U32" s="21"/>
    </row>
    <row r="33" spans="1:21" x14ac:dyDescent="0.2">
      <c r="A33" s="94" t="s">
        <v>1688</v>
      </c>
      <c r="B33" s="94"/>
      <c r="C33" s="94"/>
      <c r="D33" s="94"/>
      <c r="E33" s="94"/>
      <c r="J33" s="1" t="s">
        <v>892</v>
      </c>
      <c r="K33" s="21"/>
      <c r="L33" s="73"/>
      <c r="M33" s="73"/>
      <c r="N33" s="73"/>
      <c r="O33" s="73"/>
      <c r="P33" s="73"/>
      <c r="Q33" s="21">
        <f>Q29-P29</f>
        <v>60727.272727272735</v>
      </c>
      <c r="R33" s="73"/>
      <c r="S33" s="21">
        <f>R28-S28</f>
        <v>10661.106875459524</v>
      </c>
      <c r="T33" s="21"/>
      <c r="U33" s="21"/>
    </row>
    <row r="34" spans="1:21" x14ac:dyDescent="0.2">
      <c r="A34" s="1" t="s">
        <v>1689</v>
      </c>
      <c r="K34" s="21"/>
      <c r="L34" s="73"/>
      <c r="M34" s="73"/>
      <c r="N34" s="73"/>
      <c r="O34" s="73"/>
      <c r="P34" s="73"/>
      <c r="Q34" s="73"/>
      <c r="R34" s="73"/>
      <c r="S34" s="73"/>
      <c r="T34" s="73"/>
      <c r="U34" s="73"/>
    </row>
    <row r="35" spans="1:21" x14ac:dyDescent="0.2">
      <c r="A35" s="1" t="s">
        <v>1690</v>
      </c>
      <c r="J35" s="1" t="s">
        <v>1691</v>
      </c>
      <c r="K35" s="21"/>
      <c r="L35" s="73"/>
      <c r="M35" s="73"/>
      <c r="N35" s="73"/>
      <c r="O35" s="73"/>
      <c r="P35" s="73"/>
      <c r="Q35" s="73"/>
      <c r="R35" s="73"/>
      <c r="S35" s="73"/>
      <c r="T35" s="73"/>
      <c r="U35" s="21">
        <v>3000</v>
      </c>
    </row>
    <row r="36" spans="1:21" x14ac:dyDescent="0.2">
      <c r="A36" s="1" t="s">
        <v>1692</v>
      </c>
      <c r="K36" s="19"/>
    </row>
    <row r="37" spans="1:21" ht="17" thickBot="1" x14ac:dyDescent="0.25">
      <c r="A37" s="1" t="s">
        <v>1693</v>
      </c>
      <c r="J37" s="1" t="s">
        <v>1340</v>
      </c>
      <c r="K37" s="21">
        <f>S61</f>
        <v>6037.5</v>
      </c>
      <c r="L37" s="19"/>
      <c r="M37" s="21">
        <f>T61</f>
        <v>25392.427867683167</v>
      </c>
      <c r="N37" s="19"/>
      <c r="O37" s="21">
        <f>U61</f>
        <v>36340</v>
      </c>
      <c r="P37" s="19"/>
      <c r="Q37" s="21">
        <f>V61</f>
        <v>23920</v>
      </c>
      <c r="R37" s="19"/>
      <c r="S37" s="21">
        <f>W61</f>
        <v>24963.945418644311</v>
      </c>
      <c r="T37" s="19"/>
      <c r="U37" s="21">
        <f>X61</f>
        <v>0</v>
      </c>
    </row>
    <row r="38" spans="1:21" x14ac:dyDescent="0.2">
      <c r="B38" s="217" t="s">
        <v>161</v>
      </c>
      <c r="C38" s="217"/>
      <c r="D38" s="217"/>
      <c r="E38" s="217"/>
      <c r="F38" s="262" t="s">
        <v>1694</v>
      </c>
      <c r="G38" s="263"/>
      <c r="H38" s="264"/>
      <c r="J38" s="1" t="s">
        <v>1695</v>
      </c>
      <c r="K38" s="21">
        <f>K37</f>
        <v>6037.5</v>
      </c>
      <c r="L38" s="19"/>
      <c r="M38" s="21">
        <f>M37-K37</f>
        <v>19354.927867683167</v>
      </c>
      <c r="N38" s="19"/>
      <c r="O38" s="21">
        <f>O37-M37</f>
        <v>10947.572132316833</v>
      </c>
      <c r="S38" s="21">
        <f>S37-Q37</f>
        <v>1043.9454186443108</v>
      </c>
    </row>
    <row r="39" spans="1:21" x14ac:dyDescent="0.2">
      <c r="A39" s="2"/>
      <c r="B39" s="2" t="s">
        <v>1696</v>
      </c>
      <c r="C39" s="2" t="s">
        <v>706</v>
      </c>
      <c r="D39" s="2" t="s">
        <v>1697</v>
      </c>
      <c r="E39" s="2" t="s">
        <v>1698</v>
      </c>
      <c r="F39" s="265" t="s">
        <v>888</v>
      </c>
      <c r="G39" s="19" t="s">
        <v>706</v>
      </c>
      <c r="H39" s="226" t="s">
        <v>1699</v>
      </c>
      <c r="J39" s="1" t="s">
        <v>1700</v>
      </c>
      <c r="Q39" s="21">
        <f>O37-Q37</f>
        <v>12420</v>
      </c>
      <c r="U39" s="21">
        <f>S37-U37</f>
        <v>24963.945418644311</v>
      </c>
    </row>
    <row r="40" spans="1:21" x14ac:dyDescent="0.2">
      <c r="A40" s="205" t="s">
        <v>1228</v>
      </c>
      <c r="B40" s="205" t="s">
        <v>1701</v>
      </c>
      <c r="C40" s="205" t="s">
        <v>1702</v>
      </c>
      <c r="D40" s="205" t="s">
        <v>1703</v>
      </c>
      <c r="E40" s="205" t="s">
        <v>1704</v>
      </c>
      <c r="F40" s="265" t="s">
        <v>1705</v>
      </c>
      <c r="G40" s="19" t="s">
        <v>1706</v>
      </c>
      <c r="H40" s="226" t="s">
        <v>930</v>
      </c>
    </row>
    <row r="41" spans="1:21" x14ac:dyDescent="0.2">
      <c r="A41" s="35">
        <v>44196</v>
      </c>
      <c r="B41" s="23">
        <v>40000</v>
      </c>
      <c r="C41" s="23">
        <v>420000</v>
      </c>
      <c r="D41" s="24">
        <v>0.05</v>
      </c>
      <c r="E41" s="24">
        <v>0.04</v>
      </c>
      <c r="F41" s="266" t="s">
        <v>1707</v>
      </c>
      <c r="G41" s="267"/>
      <c r="H41" s="268"/>
    </row>
    <row r="42" spans="1:21" x14ac:dyDescent="0.2">
      <c r="A42" s="35">
        <v>44561</v>
      </c>
      <c r="B42" s="23">
        <v>30000</v>
      </c>
      <c r="C42" s="23">
        <v>320000</v>
      </c>
      <c r="D42" s="24">
        <v>7.0000000000000007E-2</v>
      </c>
      <c r="E42" s="24">
        <f>E41</f>
        <v>0.04</v>
      </c>
      <c r="F42" s="269">
        <f>ABS(PV(E42,13,B42,50000))</f>
        <v>329598.13970572536</v>
      </c>
      <c r="G42" s="38">
        <f>C42*(1-D42)</f>
        <v>297600</v>
      </c>
      <c r="H42" s="270">
        <f>MAX(F42:G42)</f>
        <v>329598.13970572536</v>
      </c>
    </row>
    <row r="43" spans="1:21" x14ac:dyDescent="0.2">
      <c r="A43" s="35">
        <v>44926</v>
      </c>
      <c r="B43" s="23">
        <v>20000</v>
      </c>
      <c r="C43" s="23">
        <v>280000</v>
      </c>
      <c r="D43" s="24">
        <v>0.1</v>
      </c>
      <c r="E43" s="24">
        <f t="shared" ref="E43:E45" si="1">E42</f>
        <v>0.04</v>
      </c>
      <c r="F43" s="269">
        <f>ABS(PV(E43,10,B43,50000))</f>
        <v>195996.12402839065</v>
      </c>
      <c r="G43" s="38">
        <f t="shared" ref="G43:G45" si="2">C43*(1-D43)</f>
        <v>252000</v>
      </c>
      <c r="H43" s="270">
        <f t="shared" ref="H43:H45" si="3">MAX(F43:G43)</f>
        <v>252000</v>
      </c>
    </row>
    <row r="44" spans="1:21" x14ac:dyDescent="0.2">
      <c r="A44" s="35">
        <v>45291</v>
      </c>
      <c r="B44" s="23">
        <v>15000</v>
      </c>
      <c r="C44" s="23">
        <v>300000</v>
      </c>
      <c r="D44" s="24">
        <v>0.08</v>
      </c>
      <c r="E44" s="24">
        <f t="shared" si="1"/>
        <v>0.04</v>
      </c>
      <c r="F44" s="269">
        <f>ABS(PV(E44,9,B44,50000))</f>
        <v>146659.31093688009</v>
      </c>
      <c r="G44" s="38">
        <f t="shared" si="2"/>
        <v>276000</v>
      </c>
      <c r="H44" s="270">
        <f t="shared" si="3"/>
        <v>276000</v>
      </c>
    </row>
    <row r="45" spans="1:21" ht="17" thickBot="1" x14ac:dyDescent="0.25">
      <c r="A45" s="35">
        <v>45657</v>
      </c>
      <c r="B45" s="23">
        <v>90000</v>
      </c>
      <c r="C45" s="23">
        <v>390000</v>
      </c>
      <c r="D45" s="24">
        <v>0.02</v>
      </c>
      <c r="E45" s="24">
        <f t="shared" si="1"/>
        <v>0.04</v>
      </c>
      <c r="F45" s="271">
        <f>ABS(PV(E45,8,B45,50000))</f>
        <v>642481.54899563571</v>
      </c>
      <c r="G45" s="272">
        <f t="shared" si="2"/>
        <v>382200</v>
      </c>
      <c r="H45" s="273">
        <f t="shared" si="3"/>
        <v>642481.54899563571</v>
      </c>
    </row>
    <row r="47" spans="1:21" x14ac:dyDescent="0.2">
      <c r="A47" s="1" t="s">
        <v>1708</v>
      </c>
    </row>
    <row r="51" spans="10:24" x14ac:dyDescent="0.2">
      <c r="J51" s="1" t="s">
        <v>1709</v>
      </c>
      <c r="K51" s="19"/>
      <c r="R51" s="1" t="s">
        <v>1710</v>
      </c>
    </row>
    <row r="52" spans="10:24" x14ac:dyDescent="0.2">
      <c r="J52" s="1" t="s">
        <v>1711</v>
      </c>
      <c r="R52" s="1" t="s">
        <v>1712</v>
      </c>
    </row>
    <row r="53" spans="10:24" x14ac:dyDescent="0.2">
      <c r="J53" s="1" t="s">
        <v>1713</v>
      </c>
      <c r="M53" s="19">
        <f>15*(15+1)/2</f>
        <v>120</v>
      </c>
      <c r="O53" s="1" t="s">
        <v>1445</v>
      </c>
      <c r="R53" s="1" t="s">
        <v>1714</v>
      </c>
    </row>
    <row r="54" spans="10:24" x14ac:dyDescent="0.2">
      <c r="J54" s="1" t="s">
        <v>1715</v>
      </c>
      <c r="M54" s="19">
        <v>15</v>
      </c>
      <c r="R54" s="1" t="s">
        <v>1716</v>
      </c>
    </row>
    <row r="55" spans="10:24" x14ac:dyDescent="0.2">
      <c r="J55" s="1" t="s">
        <v>1717</v>
      </c>
      <c r="M55" s="19">
        <f>M54</f>
        <v>15</v>
      </c>
      <c r="O55" s="1" t="s">
        <v>1442</v>
      </c>
    </row>
    <row r="56" spans="10:24" x14ac:dyDescent="0.2">
      <c r="J56" s="1" t="s">
        <v>1718</v>
      </c>
      <c r="M56" s="19">
        <v>14</v>
      </c>
      <c r="O56" s="1" t="s">
        <v>1719</v>
      </c>
      <c r="S56" s="35">
        <v>44196</v>
      </c>
      <c r="T56" s="35">
        <v>44561</v>
      </c>
      <c r="U56" s="35">
        <v>44926</v>
      </c>
      <c r="V56" s="35">
        <v>45291</v>
      </c>
      <c r="W56" s="35">
        <v>45657</v>
      </c>
      <c r="X56" s="35">
        <v>46022</v>
      </c>
    </row>
    <row r="57" spans="10:24" x14ac:dyDescent="0.2">
      <c r="R57" s="1" t="s">
        <v>99</v>
      </c>
      <c r="S57" s="21">
        <f>K29</f>
        <v>443750</v>
      </c>
      <c r="T57" s="21">
        <f>M29</f>
        <v>329598.13970572536</v>
      </c>
      <c r="U57" s="21">
        <f>O29</f>
        <v>252000</v>
      </c>
      <c r="V57" s="21">
        <f>Q29</f>
        <v>276000</v>
      </c>
      <c r="W57" s="21">
        <f>S29</f>
        <v>241461.10687545952</v>
      </c>
      <c r="X57" s="21">
        <f>U29</f>
        <v>0</v>
      </c>
    </row>
    <row r="58" spans="10:24" x14ac:dyDescent="0.2">
      <c r="J58" s="1" t="s">
        <v>1720</v>
      </c>
      <c r="M58" s="21">
        <f>450000*15/120</f>
        <v>56250</v>
      </c>
      <c r="O58" s="1" t="s">
        <v>1721</v>
      </c>
      <c r="R58" s="1" t="s">
        <v>1054</v>
      </c>
      <c r="S58" s="21">
        <f>500000-(500000-50000)/15*1</f>
        <v>470000</v>
      </c>
      <c r="T58" s="21">
        <f>500000-(500000-50000)/15*2</f>
        <v>440000</v>
      </c>
      <c r="U58" s="21">
        <f>500000-(500000-50000)/15*3</f>
        <v>410000</v>
      </c>
      <c r="V58" s="21">
        <f>500000-(500000-50000)/15*4</f>
        <v>380000</v>
      </c>
      <c r="W58" s="21">
        <f>500000-(500000-50000)/15*5</f>
        <v>350000</v>
      </c>
      <c r="X58" s="21">
        <v>0</v>
      </c>
    </row>
    <row r="59" spans="10:24" x14ac:dyDescent="0.2">
      <c r="J59" s="1" t="s">
        <v>1722</v>
      </c>
      <c r="M59" s="21">
        <f>450000*14/120</f>
        <v>52500</v>
      </c>
      <c r="O59" s="1" t="s">
        <v>1723</v>
      </c>
      <c r="R59" s="1" t="s">
        <v>1724</v>
      </c>
      <c r="S59" s="22">
        <f t="shared" ref="S59:X59" si="4">S58-S57</f>
        <v>26250</v>
      </c>
      <c r="T59" s="22">
        <f t="shared" si="4"/>
        <v>110401.86029427464</v>
      </c>
      <c r="U59" s="22">
        <f t="shared" si="4"/>
        <v>158000</v>
      </c>
      <c r="V59" s="22">
        <f t="shared" si="4"/>
        <v>104000</v>
      </c>
      <c r="W59" s="22">
        <f t="shared" si="4"/>
        <v>108538.89312454048</v>
      </c>
      <c r="X59" s="22">
        <f t="shared" si="4"/>
        <v>0</v>
      </c>
    </row>
    <row r="60" spans="10:24" x14ac:dyDescent="0.2">
      <c r="R60" s="1" t="s">
        <v>1056</v>
      </c>
      <c r="S60" s="183">
        <v>0.23</v>
      </c>
      <c r="T60" s="183">
        <v>0.23</v>
      </c>
      <c r="U60" s="183">
        <v>0.23</v>
      </c>
      <c r="V60" s="183">
        <v>0.23</v>
      </c>
      <c r="W60" s="183">
        <v>0.23</v>
      </c>
      <c r="X60" s="183">
        <v>0.23</v>
      </c>
    </row>
    <row r="61" spans="10:24" x14ac:dyDescent="0.2">
      <c r="J61" s="1" t="s">
        <v>1725</v>
      </c>
      <c r="R61" s="1" t="s">
        <v>1340</v>
      </c>
      <c r="S61" s="22">
        <f t="shared" ref="S61:X61" si="5">S59*S60</f>
        <v>6037.5</v>
      </c>
      <c r="T61" s="22">
        <f t="shared" si="5"/>
        <v>25392.427867683167</v>
      </c>
      <c r="U61" s="22">
        <f t="shared" si="5"/>
        <v>36340</v>
      </c>
      <c r="V61" s="22">
        <f t="shared" si="5"/>
        <v>23920</v>
      </c>
      <c r="W61" s="22">
        <f t="shared" si="5"/>
        <v>24963.945418644311</v>
      </c>
      <c r="X61" s="22">
        <f t="shared" si="5"/>
        <v>0</v>
      </c>
    </row>
    <row r="62" spans="10:24" x14ac:dyDescent="0.2">
      <c r="J62" s="1" t="s">
        <v>1726</v>
      </c>
    </row>
    <row r="64" spans="10:24" x14ac:dyDescent="0.2">
      <c r="J64" s="1" t="s">
        <v>1727</v>
      </c>
    </row>
    <row r="65" spans="10:15" x14ac:dyDescent="0.2">
      <c r="J65" s="1" t="s">
        <v>1728</v>
      </c>
    </row>
    <row r="66" spans="10:15" x14ac:dyDescent="0.2">
      <c r="J66" s="1" t="s">
        <v>1729</v>
      </c>
    </row>
    <row r="68" spans="10:15" x14ac:dyDescent="0.2">
      <c r="J68" s="1" t="s">
        <v>1730</v>
      </c>
    </row>
    <row r="69" spans="10:15" x14ac:dyDescent="0.2">
      <c r="J69" s="1" t="s">
        <v>1731</v>
      </c>
      <c r="M69" s="19">
        <f>13*14/2</f>
        <v>91</v>
      </c>
      <c r="O69" s="1" t="s">
        <v>1732</v>
      </c>
    </row>
    <row r="70" spans="10:15" x14ac:dyDescent="0.2">
      <c r="J70" s="1" t="s">
        <v>1733</v>
      </c>
      <c r="M70" s="19">
        <v>13</v>
      </c>
    </row>
    <row r="71" spans="10:15" x14ac:dyDescent="0.2">
      <c r="J71" s="1" t="s">
        <v>567</v>
      </c>
      <c r="M71" s="21">
        <f>(329528-50000)*13/91</f>
        <v>39932.571428571428</v>
      </c>
      <c r="O71" s="1" t="s">
        <v>1734</v>
      </c>
    </row>
    <row r="73" spans="10:15" x14ac:dyDescent="0.2">
      <c r="J73" s="1" t="s">
        <v>1735</v>
      </c>
    </row>
    <row r="74" spans="10:15" x14ac:dyDescent="0.2">
      <c r="J74" s="1" t="s">
        <v>1736</v>
      </c>
    </row>
    <row r="75" spans="10:15" x14ac:dyDescent="0.2">
      <c r="J75" s="1" t="s">
        <v>1737</v>
      </c>
    </row>
    <row r="77" spans="10:15" x14ac:dyDescent="0.2">
      <c r="J77" s="1" t="s">
        <v>1738</v>
      </c>
    </row>
    <row r="78" spans="10:15" x14ac:dyDescent="0.2">
      <c r="J78" s="1" t="s">
        <v>808</v>
      </c>
      <c r="M78" s="21">
        <f>M71</f>
        <v>39932.571428571428</v>
      </c>
    </row>
    <row r="79" spans="10:15" x14ac:dyDescent="0.2">
      <c r="J79" s="1" t="s">
        <v>1739</v>
      </c>
      <c r="M79" s="21">
        <f>M28*13/91</f>
        <v>8807.4086134678055</v>
      </c>
      <c r="O79" s="1" t="s">
        <v>1740</v>
      </c>
    </row>
    <row r="80" spans="10:15" x14ac:dyDescent="0.2">
      <c r="J80" s="1" t="s">
        <v>1741</v>
      </c>
      <c r="M80" s="21">
        <f>M78+M79</f>
        <v>48739.980042039235</v>
      </c>
    </row>
    <row r="81" spans="10:15" x14ac:dyDescent="0.2">
      <c r="M81" s="19"/>
    </row>
    <row r="82" spans="10:15" x14ac:dyDescent="0.2">
      <c r="J82" s="1" t="s">
        <v>1742</v>
      </c>
      <c r="M82" s="19"/>
    </row>
    <row r="83" spans="10:15" x14ac:dyDescent="0.2">
      <c r="J83" s="1" t="s">
        <v>1743</v>
      </c>
      <c r="M83" s="19"/>
    </row>
    <row r="84" spans="10:15" x14ac:dyDescent="0.2">
      <c r="J84" s="1" t="s">
        <v>1744</v>
      </c>
      <c r="M84" s="19"/>
    </row>
    <row r="85" spans="10:15" x14ac:dyDescent="0.2">
      <c r="M85" s="19"/>
    </row>
    <row r="86" spans="10:15" x14ac:dyDescent="0.2">
      <c r="J86" s="1" t="s">
        <v>1745</v>
      </c>
      <c r="M86" s="19"/>
    </row>
    <row r="87" spans="10:15" x14ac:dyDescent="0.2">
      <c r="J87" s="1" t="s">
        <v>1746</v>
      </c>
      <c r="M87" s="19"/>
    </row>
    <row r="88" spans="10:15" x14ac:dyDescent="0.2">
      <c r="J88" s="1" t="s">
        <v>1747</v>
      </c>
      <c r="M88" s="19"/>
    </row>
    <row r="89" spans="10:15" x14ac:dyDescent="0.2">
      <c r="J89" s="1" t="s">
        <v>1731</v>
      </c>
      <c r="M89" s="19">
        <v>55</v>
      </c>
      <c r="O89" s="1" t="s">
        <v>1748</v>
      </c>
    </row>
    <row r="90" spans="10:15" x14ac:dyDescent="0.2">
      <c r="J90" s="1" t="s">
        <v>1749</v>
      </c>
      <c r="M90" s="19">
        <v>10</v>
      </c>
    </row>
    <row r="91" spans="10:15" x14ac:dyDescent="0.2">
      <c r="J91" s="1" t="s">
        <v>1750</v>
      </c>
      <c r="M91" s="21">
        <f>(252000-50000)*M90/M89</f>
        <v>36727.272727272728</v>
      </c>
      <c r="O91" s="1" t="s">
        <v>1751</v>
      </c>
    </row>
    <row r="93" spans="10:15" x14ac:dyDescent="0.2">
      <c r="J93" s="1" t="s">
        <v>1752</v>
      </c>
    </row>
    <row r="94" spans="10:15" x14ac:dyDescent="0.2">
      <c r="J94" s="1" t="s">
        <v>808</v>
      </c>
      <c r="M94" s="21">
        <f>M91</f>
        <v>36727.272727272728</v>
      </c>
    </row>
    <row r="95" spans="10:15" x14ac:dyDescent="0.2">
      <c r="J95" s="1" t="s">
        <v>1739</v>
      </c>
      <c r="M95" s="21">
        <f>90510*10/55</f>
        <v>16456.363636363636</v>
      </c>
      <c r="O95" s="1" t="s">
        <v>1753</v>
      </c>
    </row>
    <row r="96" spans="10:15" x14ac:dyDescent="0.2">
      <c r="J96" s="1" t="s">
        <v>1741</v>
      </c>
      <c r="M96" s="21">
        <f>M94+M95</f>
        <v>53183.636363636368</v>
      </c>
    </row>
    <row r="98" spans="10:17" x14ac:dyDescent="0.2">
      <c r="J98" s="1" t="s">
        <v>1754</v>
      </c>
    </row>
    <row r="99" spans="10:17" x14ac:dyDescent="0.2">
      <c r="J99" s="1" t="s">
        <v>1755</v>
      </c>
      <c r="M99" s="19">
        <v>9</v>
      </c>
    </row>
    <row r="100" spans="10:17" x14ac:dyDescent="0.2">
      <c r="J100" s="1" t="s">
        <v>1756</v>
      </c>
      <c r="M100" s="19">
        <f>9*10/2</f>
        <v>45</v>
      </c>
      <c r="Q100" s="1" t="s">
        <v>1757</v>
      </c>
    </row>
    <row r="101" spans="10:17" x14ac:dyDescent="0.2">
      <c r="J101" s="1" t="s">
        <v>1758</v>
      </c>
      <c r="M101" s="19">
        <v>9</v>
      </c>
    </row>
    <row r="102" spans="10:17" x14ac:dyDescent="0.2">
      <c r="J102" s="1" t="s">
        <v>1759</v>
      </c>
      <c r="M102" s="21">
        <f>(276000-50000)*9/45</f>
        <v>45200</v>
      </c>
      <c r="Q102" s="1" t="s">
        <v>1760</v>
      </c>
    </row>
    <row r="104" spans="10:17" x14ac:dyDescent="0.2">
      <c r="J104" s="1" t="s">
        <v>1761</v>
      </c>
    </row>
    <row r="105" spans="10:17" x14ac:dyDescent="0.2">
      <c r="J105" s="1" t="s">
        <v>1548</v>
      </c>
      <c r="M105" s="21">
        <f>M102</f>
        <v>45200</v>
      </c>
    </row>
    <row r="106" spans="10:17" x14ac:dyDescent="0.2">
      <c r="J106" s="1" t="s">
        <v>1762</v>
      </c>
      <c r="M106" s="21">
        <f>Q28*9/45</f>
        <v>2665.2767188648809</v>
      </c>
      <c r="Q106" s="1" t="s">
        <v>1763</v>
      </c>
    </row>
    <row r="107" spans="10:17" x14ac:dyDescent="0.2">
      <c r="J107" s="1" t="s">
        <v>1741</v>
      </c>
      <c r="M107" s="21">
        <f>M105+M106</f>
        <v>47865.27671886488</v>
      </c>
    </row>
    <row r="109" spans="10:17" x14ac:dyDescent="0.2">
      <c r="J109" s="1" t="s">
        <v>1584</v>
      </c>
    </row>
    <row r="110" spans="10:17" x14ac:dyDescent="0.2">
      <c r="J110" s="1" t="s">
        <v>1764</v>
      </c>
      <c r="M110" s="19">
        <v>8</v>
      </c>
    </row>
    <row r="111" spans="10:17" x14ac:dyDescent="0.2">
      <c r="J111" s="1" t="s">
        <v>1765</v>
      </c>
      <c r="M111" s="19">
        <f>M110*9/2</f>
        <v>36</v>
      </c>
      <c r="Q111" s="1" t="s">
        <v>1766</v>
      </c>
    </row>
    <row r="112" spans="10:17" x14ac:dyDescent="0.2">
      <c r="J112" s="1" t="s">
        <v>1767</v>
      </c>
      <c r="M112" s="19">
        <v>8</v>
      </c>
    </row>
    <row r="113" spans="10:17" x14ac:dyDescent="0.2">
      <c r="J113" s="1" t="s">
        <v>1768</v>
      </c>
      <c r="M113" s="21">
        <f>(241461-50000)*8/36*(6/12)</f>
        <v>21273.444444444445</v>
      </c>
      <c r="Q113" s="1" t="s">
        <v>1769</v>
      </c>
    </row>
    <row r="115" spans="10:17" x14ac:dyDescent="0.2">
      <c r="J115" s="1" t="s">
        <v>1761</v>
      </c>
    </row>
    <row r="116" spans="10:17" x14ac:dyDescent="0.2">
      <c r="J116" s="1" t="s">
        <v>1548</v>
      </c>
      <c r="M116" s="21">
        <f>M113</f>
        <v>21273.444444444445</v>
      </c>
    </row>
  </sheetData>
  <mergeCells count="3">
    <mergeCell ref="B38:E38"/>
    <mergeCell ref="F38:H38"/>
    <mergeCell ref="F41:H41"/>
  </mergeCell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6A7BDB-E73E-6C43-9A37-A3E51C0F2C19}">
  <dimension ref="A1"/>
  <sheetViews>
    <sheetView rightToLeft="1" tabSelected="1" zoomScale="211" workbookViewId="0">
      <selection activeCell="B3" sqref="B3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7AE40-155E-864A-B4A5-4B95BE557E7D}">
  <dimension ref="A1:J459"/>
  <sheetViews>
    <sheetView rightToLeft="1" topLeftCell="A437" zoomScale="193" workbookViewId="0">
      <selection activeCell="B251" sqref="B25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1" t="s">
        <v>187</v>
      </c>
    </row>
    <row r="3" spans="1:8" x14ac:dyDescent="0.2">
      <c r="A3" s="1" t="s">
        <v>188</v>
      </c>
    </row>
    <row r="5" spans="1:8" x14ac:dyDescent="0.2">
      <c r="A5" s="2" t="s">
        <v>189</v>
      </c>
    </row>
    <row r="6" spans="1:8" x14ac:dyDescent="0.2">
      <c r="A6" s="1" t="s">
        <v>190</v>
      </c>
    </row>
    <row r="11" spans="1:8" ht="17" thickBot="1" x14ac:dyDescent="0.25"/>
    <row r="12" spans="1:8" ht="17" thickBot="1" x14ac:dyDescent="0.25">
      <c r="A12" s="16" t="s">
        <v>191</v>
      </c>
      <c r="B12" s="33"/>
      <c r="C12" s="33"/>
      <c r="D12" s="33"/>
      <c r="E12" s="33"/>
      <c r="F12" s="33"/>
      <c r="G12" s="33"/>
      <c r="H12" s="34"/>
    </row>
    <row r="13" spans="1:8" x14ac:dyDescent="0.2">
      <c r="A13" s="1" t="s">
        <v>192</v>
      </c>
    </row>
    <row r="14" spans="1:8" x14ac:dyDescent="0.2">
      <c r="A14" s="1" t="s">
        <v>193</v>
      </c>
    </row>
    <row r="15" spans="1:8" x14ac:dyDescent="0.2">
      <c r="A15" s="1" t="s">
        <v>194</v>
      </c>
    </row>
    <row r="16" spans="1:8" x14ac:dyDescent="0.2">
      <c r="A16" s="1" t="s">
        <v>195</v>
      </c>
    </row>
    <row r="17" spans="1:9" x14ac:dyDescent="0.2">
      <c r="A17" s="1" t="s">
        <v>196</v>
      </c>
    </row>
    <row r="18" spans="1:9" x14ac:dyDescent="0.2">
      <c r="A18" s="1" t="s">
        <v>197</v>
      </c>
    </row>
    <row r="19" spans="1:9" x14ac:dyDescent="0.2">
      <c r="A19" s="1" t="s">
        <v>198</v>
      </c>
    </row>
    <row r="21" spans="1:9" x14ac:dyDescent="0.2">
      <c r="A21" s="1" t="s">
        <v>60</v>
      </c>
    </row>
    <row r="22" spans="1:9" x14ac:dyDescent="0.2">
      <c r="A22" s="1" t="s">
        <v>199</v>
      </c>
    </row>
    <row r="23" spans="1:9" x14ac:dyDescent="0.2">
      <c r="A23" s="1" t="s">
        <v>200</v>
      </c>
    </row>
    <row r="25" spans="1:9" x14ac:dyDescent="0.2">
      <c r="D25" s="36">
        <v>44196</v>
      </c>
      <c r="E25" s="36">
        <v>44561</v>
      </c>
      <c r="G25" s="1" t="s">
        <v>202</v>
      </c>
    </row>
    <row r="26" spans="1:9" x14ac:dyDescent="0.2">
      <c r="B26" s="1" t="s">
        <v>95</v>
      </c>
      <c r="D26" s="38">
        <v>130000</v>
      </c>
      <c r="E26" s="38">
        <v>130000</v>
      </c>
      <c r="G26" s="1" t="s">
        <v>203</v>
      </c>
    </row>
    <row r="27" spans="1:9" x14ac:dyDescent="0.2">
      <c r="B27" s="1" t="s">
        <v>96</v>
      </c>
      <c r="D27" s="21">
        <f>-D31</f>
        <v>-23333.333333333332</v>
      </c>
      <c r="E27" s="21">
        <f>D27-E31</f>
        <v>-46666.666666666664</v>
      </c>
      <c r="G27" s="1" t="s">
        <v>204</v>
      </c>
    </row>
    <row r="28" spans="1:9" x14ac:dyDescent="0.2">
      <c r="B28" s="1" t="s">
        <v>201</v>
      </c>
      <c r="D28" s="19">
        <v>0</v>
      </c>
      <c r="E28" s="19">
        <v>0</v>
      </c>
      <c r="G28" s="1" t="s">
        <v>205</v>
      </c>
      <c r="I28" s="1">
        <f>130000-60000</f>
        <v>70000</v>
      </c>
    </row>
    <row r="29" spans="1:9" x14ac:dyDescent="0.2">
      <c r="B29" s="1" t="s">
        <v>99</v>
      </c>
      <c r="D29" s="39">
        <f>SUM(D26:D28)</f>
        <v>106666.66666666667</v>
      </c>
      <c r="E29" s="39">
        <f>SUM(E26:E28)</f>
        <v>83333.333333333343</v>
      </c>
      <c r="G29" s="1" t="s">
        <v>206</v>
      </c>
      <c r="I29" s="1">
        <v>3</v>
      </c>
    </row>
    <row r="31" spans="1:9" x14ac:dyDescent="0.2">
      <c r="B31" s="1" t="s">
        <v>100</v>
      </c>
      <c r="D31" s="21">
        <f>(130000-60000)/3</f>
        <v>23333.333333333332</v>
      </c>
      <c r="E31" s="21">
        <f>(130000-60000)/3</f>
        <v>23333.333333333332</v>
      </c>
    </row>
    <row r="33" spans="1:8" x14ac:dyDescent="0.2">
      <c r="A33" s="1" t="s">
        <v>207</v>
      </c>
    </row>
    <row r="34" spans="1:8" x14ac:dyDescent="0.2">
      <c r="A34" s="1" t="s">
        <v>208</v>
      </c>
    </row>
    <row r="35" spans="1:8" x14ac:dyDescent="0.2">
      <c r="A35" s="1" t="s">
        <v>209</v>
      </c>
    </row>
    <row r="36" spans="1:8" x14ac:dyDescent="0.2">
      <c r="A36" s="1" t="s">
        <v>210</v>
      </c>
    </row>
    <row r="37" spans="1:8" x14ac:dyDescent="0.2">
      <c r="A37" s="1" t="s">
        <v>211</v>
      </c>
    </row>
    <row r="38" spans="1:8" x14ac:dyDescent="0.2">
      <c r="A38" s="1" t="s">
        <v>212</v>
      </c>
    </row>
    <row r="39" spans="1:8" x14ac:dyDescent="0.2">
      <c r="A39" s="1" t="s">
        <v>213</v>
      </c>
    </row>
    <row r="41" spans="1:8" x14ac:dyDescent="0.2">
      <c r="A41" s="2" t="s">
        <v>214</v>
      </c>
    </row>
    <row r="42" spans="1:8" ht="17" thickBot="1" x14ac:dyDescent="0.25"/>
    <row r="43" spans="1:8" ht="17" thickBot="1" x14ac:dyDescent="0.25">
      <c r="A43" s="16" t="s">
        <v>215</v>
      </c>
      <c r="B43" s="33"/>
      <c r="C43" s="33"/>
      <c r="D43" s="33"/>
      <c r="E43" s="33"/>
      <c r="F43" s="33"/>
      <c r="G43" s="33"/>
      <c r="H43" s="34"/>
    </row>
    <row r="52" spans="1:10" x14ac:dyDescent="0.2">
      <c r="A52" s="1" t="s">
        <v>216</v>
      </c>
    </row>
    <row r="53" spans="1:10" x14ac:dyDescent="0.2">
      <c r="A53" s="1" t="s">
        <v>217</v>
      </c>
    </row>
    <row r="54" spans="1:10" x14ac:dyDescent="0.2">
      <c r="A54" s="1" t="s">
        <v>218</v>
      </c>
    </row>
    <row r="55" spans="1:10" ht="17" thickBot="1" x14ac:dyDescent="0.25"/>
    <row r="56" spans="1:10" ht="17" thickBot="1" x14ac:dyDescent="0.25">
      <c r="A56" s="32" t="s">
        <v>219</v>
      </c>
      <c r="B56" s="33"/>
      <c r="C56" s="33"/>
      <c r="D56" s="33"/>
      <c r="E56" s="33"/>
      <c r="F56" s="33"/>
      <c r="G56" s="33"/>
      <c r="H56" s="34"/>
    </row>
    <row r="57" spans="1:10" x14ac:dyDescent="0.2">
      <c r="A57" s="1" t="s">
        <v>220</v>
      </c>
    </row>
    <row r="58" spans="1:10" x14ac:dyDescent="0.2">
      <c r="A58" s="1" t="s">
        <v>221</v>
      </c>
      <c r="J58" s="1" t="s">
        <v>244</v>
      </c>
    </row>
    <row r="59" spans="1:10" x14ac:dyDescent="0.2">
      <c r="A59" s="1" t="s">
        <v>222</v>
      </c>
      <c r="J59" s="1" t="s">
        <v>245</v>
      </c>
    </row>
    <row r="60" spans="1:10" x14ac:dyDescent="0.2">
      <c r="A60" s="1" t="s">
        <v>223</v>
      </c>
      <c r="J60" s="1" t="s">
        <v>246</v>
      </c>
    </row>
    <row r="61" spans="1:10" x14ac:dyDescent="0.2">
      <c r="A61" s="1" t="s">
        <v>224</v>
      </c>
      <c r="J61" s="1" t="s">
        <v>247</v>
      </c>
    </row>
    <row r="62" spans="1:10" x14ac:dyDescent="0.2">
      <c r="J62" s="1" t="s">
        <v>248</v>
      </c>
    </row>
    <row r="63" spans="1:10" x14ac:dyDescent="0.2">
      <c r="C63" s="1" t="s">
        <v>225</v>
      </c>
      <c r="D63" s="1" t="s">
        <v>226</v>
      </c>
      <c r="J63" s="1" t="s">
        <v>249</v>
      </c>
    </row>
    <row r="64" spans="1:10" x14ac:dyDescent="0.2">
      <c r="C64" s="1">
        <v>2022</v>
      </c>
      <c r="D64" s="1">
        <v>80</v>
      </c>
      <c r="J64" s="1" t="s">
        <v>250</v>
      </c>
    </row>
    <row r="65" spans="1:10" x14ac:dyDescent="0.2">
      <c r="C65" s="1">
        <v>2023</v>
      </c>
      <c r="D65" s="1">
        <v>70</v>
      </c>
    </row>
    <row r="66" spans="1:10" x14ac:dyDescent="0.2">
      <c r="C66" s="1">
        <v>2024</v>
      </c>
      <c r="D66" s="1">
        <v>60</v>
      </c>
      <c r="J66"/>
    </row>
    <row r="67" spans="1:10" x14ac:dyDescent="0.2">
      <c r="C67" s="1">
        <v>2025</v>
      </c>
      <c r="D67" s="1">
        <v>40</v>
      </c>
    </row>
    <row r="69" spans="1:10" x14ac:dyDescent="0.2">
      <c r="A69" s="1" t="s">
        <v>227</v>
      </c>
    </row>
    <row r="71" spans="1:10" x14ac:dyDescent="0.2">
      <c r="C71" s="40">
        <v>2022</v>
      </c>
      <c r="D71" s="40">
        <v>2023</v>
      </c>
      <c r="E71" s="40">
        <v>2024</v>
      </c>
      <c r="F71" s="40">
        <v>2025</v>
      </c>
    </row>
    <row r="72" spans="1:10" x14ac:dyDescent="0.2">
      <c r="B72" s="1" t="s">
        <v>95</v>
      </c>
      <c r="C72" s="21">
        <v>500000</v>
      </c>
      <c r="D72" s="21">
        <v>500000</v>
      </c>
      <c r="E72" s="21">
        <v>500000</v>
      </c>
      <c r="F72" s="21">
        <v>500000</v>
      </c>
    </row>
    <row r="73" spans="1:10" x14ac:dyDescent="0.2">
      <c r="B73" s="1" t="s">
        <v>228</v>
      </c>
      <c r="C73" s="21">
        <f>-C76</f>
        <v>-160000</v>
      </c>
      <c r="D73" s="21">
        <f>C73-D76</f>
        <v>-300000</v>
      </c>
      <c r="E73" s="21">
        <f>D73-E76</f>
        <v>-420000</v>
      </c>
      <c r="F73" s="21">
        <f>E73-F76</f>
        <v>-500000</v>
      </c>
    </row>
    <row r="74" spans="1:10" x14ac:dyDescent="0.2">
      <c r="B74" s="1" t="s">
        <v>99</v>
      </c>
      <c r="C74" s="22">
        <f>C72+C73</f>
        <v>340000</v>
      </c>
      <c r="D74" s="22">
        <f>D72+D73</f>
        <v>200000</v>
      </c>
      <c r="E74" s="22">
        <f>E72+E73</f>
        <v>80000</v>
      </c>
      <c r="F74" s="22">
        <f>F72+F73</f>
        <v>0</v>
      </c>
    </row>
    <row r="75" spans="1:10" x14ac:dyDescent="0.2">
      <c r="C75" s="21"/>
      <c r="D75" s="21"/>
      <c r="E75" s="21"/>
      <c r="F75" s="21"/>
    </row>
    <row r="76" spans="1:10" x14ac:dyDescent="0.2">
      <c r="B76" s="1" t="s">
        <v>100</v>
      </c>
      <c r="C76" s="21">
        <f>D83*D64</f>
        <v>160000</v>
      </c>
      <c r="D76" s="21">
        <f>D83*D65</f>
        <v>140000</v>
      </c>
      <c r="E76" s="21">
        <f>D83*D66</f>
        <v>120000</v>
      </c>
      <c r="F76" s="21">
        <f>D83*D67</f>
        <v>80000</v>
      </c>
    </row>
    <row r="79" spans="1:10" x14ac:dyDescent="0.2">
      <c r="A79" s="1" t="s">
        <v>229</v>
      </c>
    </row>
    <row r="80" spans="1:10" x14ac:dyDescent="0.2">
      <c r="A80" s="1" t="s">
        <v>230</v>
      </c>
    </row>
    <row r="81" spans="1:9" x14ac:dyDescent="0.2">
      <c r="A81" s="1" t="s">
        <v>231</v>
      </c>
    </row>
    <row r="83" spans="1:9" x14ac:dyDescent="0.2">
      <c r="B83" s="1" t="s">
        <v>233</v>
      </c>
      <c r="D83" s="1">
        <f>500000/250</f>
        <v>2000</v>
      </c>
      <c r="F83" s="1" t="s">
        <v>232</v>
      </c>
    </row>
    <row r="85" spans="1:9" x14ac:dyDescent="0.2">
      <c r="A85" s="1" t="s">
        <v>234</v>
      </c>
    </row>
    <row r="86" spans="1:9" ht="17" thickBot="1" x14ac:dyDescent="0.25"/>
    <row r="87" spans="1:9" ht="17" thickBot="1" x14ac:dyDescent="0.25">
      <c r="A87" s="32" t="s">
        <v>235</v>
      </c>
      <c r="B87" s="33"/>
      <c r="C87" s="33"/>
      <c r="D87" s="33"/>
      <c r="E87" s="33"/>
      <c r="F87" s="33"/>
      <c r="G87" s="33"/>
      <c r="H87" s="34"/>
    </row>
    <row r="88" spans="1:9" x14ac:dyDescent="0.2">
      <c r="A88" s="1" t="s">
        <v>236</v>
      </c>
    </row>
    <row r="89" spans="1:9" x14ac:dyDescent="0.2">
      <c r="A89" s="1" t="s">
        <v>221</v>
      </c>
    </row>
    <row r="90" spans="1:9" x14ac:dyDescent="0.2">
      <c r="A90" s="1" t="s">
        <v>237</v>
      </c>
    </row>
    <row r="91" spans="1:9" x14ac:dyDescent="0.2">
      <c r="A91" s="1" t="s">
        <v>223</v>
      </c>
    </row>
    <row r="92" spans="1:9" x14ac:dyDescent="0.2">
      <c r="A92" s="1" t="s">
        <v>224</v>
      </c>
      <c r="I92" s="1" t="s">
        <v>239</v>
      </c>
    </row>
    <row r="93" spans="1:9" x14ac:dyDescent="0.2">
      <c r="I93" s="1" t="s">
        <v>240</v>
      </c>
    </row>
    <row r="94" spans="1:9" x14ac:dyDescent="0.2">
      <c r="C94" s="1" t="s">
        <v>225</v>
      </c>
      <c r="D94" s="1" t="s">
        <v>238</v>
      </c>
      <c r="I94" s="1" t="s">
        <v>241</v>
      </c>
    </row>
    <row r="95" spans="1:9" x14ac:dyDescent="0.2">
      <c r="C95" s="1">
        <v>2022</v>
      </c>
      <c r="D95" s="1">
        <v>350</v>
      </c>
      <c r="I95" s="1" t="s">
        <v>242</v>
      </c>
    </row>
    <row r="96" spans="1:9" x14ac:dyDescent="0.2">
      <c r="C96" s="1">
        <v>2023</v>
      </c>
      <c r="D96" s="1">
        <v>200</v>
      </c>
      <c r="I96" s="1" t="s">
        <v>243</v>
      </c>
    </row>
    <row r="97" spans="1:9" x14ac:dyDescent="0.2">
      <c r="C97" s="1">
        <v>2024</v>
      </c>
      <c r="D97" s="1">
        <v>150</v>
      </c>
    </row>
    <row r="98" spans="1:9" x14ac:dyDescent="0.2">
      <c r="C98" s="1">
        <v>2025</v>
      </c>
      <c r="D98" s="1">
        <v>400</v>
      </c>
      <c r="I98"/>
    </row>
    <row r="100" spans="1:9" x14ac:dyDescent="0.2">
      <c r="A100" s="1" t="s">
        <v>227</v>
      </c>
    </row>
    <row r="103" spans="1:9" x14ac:dyDescent="0.2">
      <c r="C103" s="40">
        <v>2022</v>
      </c>
      <c r="D103" s="40">
        <v>2023</v>
      </c>
      <c r="E103" s="40">
        <v>2024</v>
      </c>
      <c r="F103" s="40">
        <v>2025</v>
      </c>
    </row>
    <row r="104" spans="1:9" x14ac:dyDescent="0.2">
      <c r="B104" s="1" t="s">
        <v>95</v>
      </c>
      <c r="C104" s="21">
        <v>300000</v>
      </c>
      <c r="D104" s="21">
        <v>300000</v>
      </c>
      <c r="E104" s="21">
        <v>300000</v>
      </c>
      <c r="F104" s="21">
        <v>300000</v>
      </c>
    </row>
    <row r="105" spans="1:9" x14ac:dyDescent="0.2">
      <c r="B105" s="1" t="s">
        <v>228</v>
      </c>
      <c r="C105" s="21">
        <f>-C108</f>
        <v>-105000</v>
      </c>
      <c r="D105" s="21">
        <f>C105-D108</f>
        <v>-165000</v>
      </c>
      <c r="E105" s="21">
        <f>D105-E108</f>
        <v>-210000</v>
      </c>
      <c r="F105" s="21">
        <f>E105-F108</f>
        <v>-330000</v>
      </c>
    </row>
    <row r="106" spans="1:9" x14ac:dyDescent="0.2">
      <c r="B106" s="1" t="s">
        <v>99</v>
      </c>
      <c r="C106" s="22">
        <f>C104+C105</f>
        <v>195000</v>
      </c>
      <c r="D106" s="22">
        <f>D104+D105</f>
        <v>135000</v>
      </c>
      <c r="E106" s="22">
        <f>E104+E105</f>
        <v>90000</v>
      </c>
      <c r="F106" s="22">
        <f>F104+F105</f>
        <v>-30000</v>
      </c>
    </row>
    <row r="107" spans="1:9" x14ac:dyDescent="0.2">
      <c r="C107" s="21"/>
      <c r="D107" s="21"/>
      <c r="E107" s="21"/>
      <c r="F107" s="21"/>
      <c r="I107"/>
    </row>
    <row r="108" spans="1:9" x14ac:dyDescent="0.2">
      <c r="B108" s="1" t="s">
        <v>100</v>
      </c>
      <c r="C108" s="21">
        <f>300000/1000*D95</f>
        <v>105000</v>
      </c>
      <c r="D108" s="21">
        <f>300000/1000*D96</f>
        <v>60000</v>
      </c>
      <c r="E108" s="21">
        <f>300000/1000*D97</f>
        <v>45000</v>
      </c>
      <c r="F108" s="21">
        <f>300000/1000*D98</f>
        <v>120000</v>
      </c>
    </row>
    <row r="114" spans="1:6" x14ac:dyDescent="0.2">
      <c r="A114" s="1" t="s">
        <v>251</v>
      </c>
    </row>
    <row r="115" spans="1:6" x14ac:dyDescent="0.2">
      <c r="A115" s="1" t="s">
        <v>252</v>
      </c>
    </row>
    <row r="116" spans="1:6" x14ac:dyDescent="0.2">
      <c r="A116" s="1" t="s">
        <v>253</v>
      </c>
    </row>
    <row r="118" spans="1:6" x14ac:dyDescent="0.2">
      <c r="C118" s="1" t="s">
        <v>225</v>
      </c>
      <c r="D118" s="1" t="s">
        <v>238</v>
      </c>
    </row>
    <row r="119" spans="1:6" x14ac:dyDescent="0.2">
      <c r="C119" s="1">
        <v>2022</v>
      </c>
      <c r="D119" s="1">
        <v>350</v>
      </c>
    </row>
    <row r="120" spans="1:6" x14ac:dyDescent="0.2">
      <c r="C120" s="1">
        <v>2023</v>
      </c>
      <c r="D120" s="1">
        <v>200</v>
      </c>
    </row>
    <row r="121" spans="1:6" x14ac:dyDescent="0.2">
      <c r="C121" s="1">
        <v>2024</v>
      </c>
      <c r="D121" s="1">
        <v>150</v>
      </c>
    </row>
    <row r="122" spans="1:6" x14ac:dyDescent="0.2">
      <c r="C122" s="1">
        <v>2025</v>
      </c>
      <c r="D122" s="1">
        <v>400</v>
      </c>
    </row>
    <row r="123" spans="1:6" x14ac:dyDescent="0.2">
      <c r="C123" s="1" t="s">
        <v>254</v>
      </c>
      <c r="D123" s="41">
        <f>SUM(D119:D122)</f>
        <v>1100</v>
      </c>
      <c r="E123" s="19" t="s">
        <v>256</v>
      </c>
      <c r="F123" s="1">
        <v>1000</v>
      </c>
    </row>
    <row r="124" spans="1:6" x14ac:dyDescent="0.2">
      <c r="D124" s="1" t="s">
        <v>255</v>
      </c>
      <c r="F124" s="1" t="s">
        <v>257</v>
      </c>
    </row>
    <row r="126" spans="1:6" x14ac:dyDescent="0.2">
      <c r="A126" s="1" t="s">
        <v>258</v>
      </c>
    </row>
    <row r="127" spans="1:6" x14ac:dyDescent="0.2">
      <c r="A127" s="1" t="s">
        <v>259</v>
      </c>
    </row>
    <row r="129" spans="1:6" x14ac:dyDescent="0.2">
      <c r="A129" s="1" t="s">
        <v>260</v>
      </c>
    </row>
    <row r="131" spans="1:6" x14ac:dyDescent="0.2">
      <c r="C131" s="1" t="s">
        <v>225</v>
      </c>
      <c r="D131" s="1" t="s">
        <v>238</v>
      </c>
    </row>
    <row r="132" spans="1:6" x14ac:dyDescent="0.2">
      <c r="C132" s="1">
        <v>2022</v>
      </c>
      <c r="D132" s="1">
        <v>350</v>
      </c>
    </row>
    <row r="133" spans="1:6" x14ac:dyDescent="0.2">
      <c r="C133" s="1">
        <v>2023</v>
      </c>
      <c r="D133" s="1">
        <v>200</v>
      </c>
    </row>
    <row r="134" spans="1:6" x14ac:dyDescent="0.2">
      <c r="C134" s="1">
        <v>2024</v>
      </c>
      <c r="D134" s="1">
        <v>150</v>
      </c>
    </row>
    <row r="135" spans="1:6" x14ac:dyDescent="0.2">
      <c r="C135" s="1">
        <v>2025</v>
      </c>
      <c r="D135" s="42">
        <v>300</v>
      </c>
    </row>
    <row r="136" spans="1:6" x14ac:dyDescent="0.2">
      <c r="C136" s="1" t="s">
        <v>254</v>
      </c>
      <c r="D136" s="41">
        <f>SUM(D132:D135)</f>
        <v>1000</v>
      </c>
      <c r="E136" s="19" t="s">
        <v>256</v>
      </c>
      <c r="F136" s="1">
        <v>1000</v>
      </c>
    </row>
    <row r="137" spans="1:6" x14ac:dyDescent="0.2">
      <c r="D137" s="1" t="s">
        <v>261</v>
      </c>
      <c r="F137" s="1" t="s">
        <v>257</v>
      </c>
    </row>
    <row r="139" spans="1:6" x14ac:dyDescent="0.2">
      <c r="C139" s="40">
        <v>2022</v>
      </c>
      <c r="D139" s="40">
        <v>2023</v>
      </c>
      <c r="E139" s="40">
        <v>2024</v>
      </c>
      <c r="F139" s="40">
        <v>2025</v>
      </c>
    </row>
    <row r="140" spans="1:6" x14ac:dyDescent="0.2">
      <c r="B140" s="1" t="s">
        <v>95</v>
      </c>
      <c r="C140" s="21">
        <v>300000</v>
      </c>
      <c r="D140" s="21">
        <v>300000</v>
      </c>
      <c r="E140" s="21">
        <v>300000</v>
      </c>
      <c r="F140" s="21">
        <v>300000</v>
      </c>
    </row>
    <row r="141" spans="1:6" x14ac:dyDescent="0.2">
      <c r="B141" s="1" t="s">
        <v>228</v>
      </c>
      <c r="C141" s="21">
        <f>C105</f>
        <v>-105000</v>
      </c>
      <c r="D141" s="21">
        <f>C141-D144</f>
        <v>-165000</v>
      </c>
      <c r="E141" s="21">
        <f>D141-E144</f>
        <v>-210000</v>
      </c>
      <c r="F141" s="43">
        <f>E141-F144</f>
        <v>-300000</v>
      </c>
    </row>
    <row r="142" spans="1:6" x14ac:dyDescent="0.2">
      <c r="B142" s="1" t="s">
        <v>99</v>
      </c>
      <c r="C142" s="22">
        <f>C140+C141</f>
        <v>195000</v>
      </c>
      <c r="D142" s="22">
        <f>D140+D141</f>
        <v>135000</v>
      </c>
      <c r="E142" s="22">
        <f>E140+E141</f>
        <v>90000</v>
      </c>
      <c r="F142" s="22">
        <f>F140+F141</f>
        <v>0</v>
      </c>
    </row>
    <row r="143" spans="1:6" x14ac:dyDescent="0.2">
      <c r="C143" s="21"/>
      <c r="D143" s="21"/>
      <c r="E143" s="21"/>
      <c r="F143" s="21"/>
    </row>
    <row r="144" spans="1:6" x14ac:dyDescent="0.2">
      <c r="B144" s="1" t="s">
        <v>100</v>
      </c>
      <c r="C144" s="21">
        <f>C108</f>
        <v>105000</v>
      </c>
      <c r="D144" s="21">
        <f t="shared" ref="D144:E144" si="0">D108</f>
        <v>60000</v>
      </c>
      <c r="E144" s="21">
        <f t="shared" si="0"/>
        <v>45000</v>
      </c>
      <c r="F144" s="43">
        <f>300000/1000*300</f>
        <v>90000</v>
      </c>
    </row>
    <row r="146" spans="1:8" x14ac:dyDescent="0.2">
      <c r="A146" s="2" t="s">
        <v>262</v>
      </c>
      <c r="B146" s="2"/>
      <c r="C146" s="2"/>
      <c r="D146" s="2"/>
      <c r="E146" s="2"/>
      <c r="F146" s="2"/>
      <c r="G146" s="2"/>
      <c r="H146" s="2"/>
    </row>
    <row r="148" spans="1:8" x14ac:dyDescent="0.2">
      <c r="A148" s="1" t="s">
        <v>263</v>
      </c>
    </row>
    <row r="149" spans="1:8" x14ac:dyDescent="0.2">
      <c r="A149" s="1" t="s">
        <v>264</v>
      </c>
    </row>
    <row r="150" spans="1:8" x14ac:dyDescent="0.2">
      <c r="A150" s="1" t="s">
        <v>265</v>
      </c>
    </row>
    <row r="151" spans="1:8" x14ac:dyDescent="0.2">
      <c r="A151" s="1" t="s">
        <v>266</v>
      </c>
    </row>
    <row r="152" spans="1:8" x14ac:dyDescent="0.2">
      <c r="A152" s="1" t="s">
        <v>267</v>
      </c>
    </row>
    <row r="153" spans="1:8" x14ac:dyDescent="0.2">
      <c r="A153" s="1" t="s">
        <v>268</v>
      </c>
    </row>
    <row r="154" spans="1:8" x14ac:dyDescent="0.2">
      <c r="A154" s="1" t="s">
        <v>269</v>
      </c>
    </row>
    <row r="155" spans="1:8" x14ac:dyDescent="0.2">
      <c r="A155" s="1" t="s">
        <v>270</v>
      </c>
    </row>
    <row r="157" spans="1:8" x14ac:dyDescent="0.2">
      <c r="A157" s="1" t="s">
        <v>271</v>
      </c>
    </row>
    <row r="159" spans="1:8" x14ac:dyDescent="0.2">
      <c r="A159" s="1" t="s">
        <v>272</v>
      </c>
    </row>
    <row r="160" spans="1:8" x14ac:dyDescent="0.2">
      <c r="B160" s="1" t="s">
        <v>273</v>
      </c>
    </row>
    <row r="161" spans="1:8" x14ac:dyDescent="0.2">
      <c r="B161" s="1" t="s">
        <v>274</v>
      </c>
    </row>
    <row r="162" spans="1:8" x14ac:dyDescent="0.2">
      <c r="B162" s="1" t="s">
        <v>298</v>
      </c>
    </row>
    <row r="163" spans="1:8" ht="17" thickBot="1" x14ac:dyDescent="0.25"/>
    <row r="164" spans="1:8" ht="17" thickBot="1" x14ac:dyDescent="0.25">
      <c r="A164" s="16" t="s">
        <v>191</v>
      </c>
      <c r="B164" s="33"/>
      <c r="C164" s="33"/>
      <c r="D164" s="33"/>
      <c r="E164" s="33"/>
      <c r="F164" s="33"/>
      <c r="G164" s="33"/>
      <c r="H164" s="34"/>
    </row>
    <row r="166" spans="1:8" x14ac:dyDescent="0.2">
      <c r="A166" s="1" t="s">
        <v>283</v>
      </c>
    </row>
    <row r="167" spans="1:8" x14ac:dyDescent="0.2">
      <c r="A167" s="1" t="s">
        <v>275</v>
      </c>
    </row>
    <row r="168" spans="1:8" x14ac:dyDescent="0.2">
      <c r="A168" s="1" t="s">
        <v>294</v>
      </c>
    </row>
    <row r="169" spans="1:8" x14ac:dyDescent="0.2">
      <c r="A169" s="45" t="s">
        <v>276</v>
      </c>
    </row>
    <row r="170" spans="1:8" x14ac:dyDescent="0.2">
      <c r="A170" s="45" t="s">
        <v>277</v>
      </c>
    </row>
    <row r="171" spans="1:8" x14ac:dyDescent="0.2">
      <c r="A171" s="1" t="s">
        <v>278</v>
      </c>
    </row>
    <row r="172" spans="1:8" x14ac:dyDescent="0.2">
      <c r="A172" s="1" t="s">
        <v>279</v>
      </c>
    </row>
    <row r="173" spans="1:8" x14ac:dyDescent="0.2">
      <c r="A173" s="1" t="s">
        <v>280</v>
      </c>
    </row>
    <row r="174" spans="1:8" x14ac:dyDescent="0.2">
      <c r="A174" s="1" t="s">
        <v>281</v>
      </c>
    </row>
    <row r="175" spans="1:8" x14ac:dyDescent="0.2">
      <c r="A175" s="1" t="s">
        <v>282</v>
      </c>
    </row>
    <row r="177" spans="1:9" x14ac:dyDescent="0.2">
      <c r="A177" s="2" t="s">
        <v>284</v>
      </c>
    </row>
    <row r="178" spans="1:9" x14ac:dyDescent="0.2">
      <c r="C178" s="1" t="s">
        <v>295</v>
      </c>
      <c r="D178" s="1" t="s">
        <v>295</v>
      </c>
      <c r="E178" s="1" t="s">
        <v>295</v>
      </c>
      <c r="F178" s="1" t="s">
        <v>296</v>
      </c>
      <c r="H178" s="1" t="s">
        <v>299</v>
      </c>
      <c r="I178" s="1" t="s">
        <v>300</v>
      </c>
    </row>
    <row r="179" spans="1:9" x14ac:dyDescent="0.2">
      <c r="C179" s="35">
        <v>43100</v>
      </c>
      <c r="D179" s="35">
        <v>43465</v>
      </c>
      <c r="E179" s="35">
        <v>43830</v>
      </c>
      <c r="F179" s="1" t="s">
        <v>297</v>
      </c>
      <c r="G179" s="35">
        <v>44196</v>
      </c>
      <c r="H179" s="35">
        <v>44561</v>
      </c>
      <c r="I179" s="1" t="s">
        <v>301</v>
      </c>
    </row>
    <row r="180" spans="1:9" x14ac:dyDescent="0.2">
      <c r="B180" s="1" t="s">
        <v>95</v>
      </c>
      <c r="C180" s="44">
        <f>D192</f>
        <v>182000</v>
      </c>
      <c r="D180" s="23">
        <f>C180</f>
        <v>182000</v>
      </c>
      <c r="E180" s="23">
        <f>D180</f>
        <v>182000</v>
      </c>
      <c r="F180" s="23">
        <f>E180+80000</f>
        <v>262000</v>
      </c>
      <c r="G180" s="23">
        <f>F180</f>
        <v>262000</v>
      </c>
      <c r="H180" s="23">
        <f>G180</f>
        <v>262000</v>
      </c>
      <c r="I180" s="1">
        <v>0</v>
      </c>
    </row>
    <row r="181" spans="1:9" x14ac:dyDescent="0.2">
      <c r="B181" s="1" t="s">
        <v>96</v>
      </c>
      <c r="C181" s="1">
        <f>-C184</f>
        <v>-32400</v>
      </c>
      <c r="D181" s="1">
        <f>C181-D184</f>
        <v>-64800</v>
      </c>
      <c r="E181" s="1">
        <f>D181-E184</f>
        <v>-97200</v>
      </c>
      <c r="F181" s="1">
        <f>E181</f>
        <v>-97200</v>
      </c>
      <c r="G181" s="1">
        <f>F181-G184</f>
        <v>-164600</v>
      </c>
      <c r="H181" s="1">
        <f>G181-H184</f>
        <v>-232000</v>
      </c>
      <c r="I181" s="1">
        <v>0</v>
      </c>
    </row>
    <row r="182" spans="1:9" x14ac:dyDescent="0.2">
      <c r="B182" s="1" t="s">
        <v>99</v>
      </c>
      <c r="C182" s="23">
        <f>SUM(C180:C181)</f>
        <v>149600</v>
      </c>
      <c r="D182" s="23">
        <f>D180+D181</f>
        <v>117200</v>
      </c>
      <c r="E182" s="23">
        <f>E180+E181</f>
        <v>84800</v>
      </c>
      <c r="F182" s="23">
        <f>E182+80000</f>
        <v>164800</v>
      </c>
      <c r="G182" s="23">
        <f>G180+G181</f>
        <v>97400</v>
      </c>
      <c r="H182" s="23">
        <f>H180+H181</f>
        <v>30000</v>
      </c>
      <c r="I182" s="1">
        <v>0</v>
      </c>
    </row>
    <row r="184" spans="1:9" x14ac:dyDescent="0.2">
      <c r="B184" s="1" t="s">
        <v>100</v>
      </c>
      <c r="C184" s="1">
        <f>(182000-20000)/5</f>
        <v>32400</v>
      </c>
      <c r="D184" s="1">
        <f>C184</f>
        <v>32400</v>
      </c>
      <c r="E184" s="1">
        <f>D184</f>
        <v>32400</v>
      </c>
      <c r="F184" s="46"/>
      <c r="G184" s="1">
        <f>(F182-30000)/2</f>
        <v>67400</v>
      </c>
      <c r="H184" s="1">
        <f>G184</f>
        <v>67400</v>
      </c>
      <c r="I184" s="1">
        <f>H184</f>
        <v>67400</v>
      </c>
    </row>
    <row r="186" spans="1:9" x14ac:dyDescent="0.2">
      <c r="B186" s="1" t="s">
        <v>302</v>
      </c>
      <c r="I186" s="23">
        <f>28000-H182</f>
        <v>-2000</v>
      </c>
    </row>
    <row r="188" spans="1:9" x14ac:dyDescent="0.2">
      <c r="A188" s="1" t="s">
        <v>285</v>
      </c>
      <c r="F188" s="1" t="s">
        <v>289</v>
      </c>
    </row>
    <row r="189" spans="1:9" x14ac:dyDescent="0.2">
      <c r="B189" s="1" t="s">
        <v>286</v>
      </c>
      <c r="D189" s="23">
        <v>150000</v>
      </c>
      <c r="F189" s="1" t="s">
        <v>290</v>
      </c>
    </row>
    <row r="190" spans="1:9" x14ac:dyDescent="0.2">
      <c r="B190" s="1" t="s">
        <v>287</v>
      </c>
      <c r="D190" s="23">
        <v>20000</v>
      </c>
      <c r="F190" s="1" t="s">
        <v>291</v>
      </c>
    </row>
    <row r="191" spans="1:9" x14ac:dyDescent="0.2">
      <c r="B191" s="1" t="s">
        <v>288</v>
      </c>
      <c r="D191" s="23">
        <v>12000</v>
      </c>
      <c r="F191" s="1" t="s">
        <v>292</v>
      </c>
    </row>
    <row r="192" spans="1:9" x14ac:dyDescent="0.2">
      <c r="B192" s="1" t="s">
        <v>293</v>
      </c>
      <c r="D192" s="44">
        <f>SUM(D189:D191)</f>
        <v>182000</v>
      </c>
    </row>
    <row r="194" spans="2:2" x14ac:dyDescent="0.2">
      <c r="B194"/>
    </row>
    <row r="212" spans="1:8" ht="17" thickBot="1" x14ac:dyDescent="0.25"/>
    <row r="213" spans="1:8" x14ac:dyDescent="0.2">
      <c r="A213" s="13" t="s">
        <v>303</v>
      </c>
      <c r="B213" s="5"/>
      <c r="C213" s="5"/>
      <c r="D213" s="5"/>
      <c r="E213" s="5"/>
      <c r="F213" s="5"/>
      <c r="G213" s="5"/>
      <c r="H213" s="6"/>
    </row>
    <row r="214" spans="1:8" x14ac:dyDescent="0.2">
      <c r="A214" s="7" t="s">
        <v>304</v>
      </c>
      <c r="H214" s="9"/>
    </row>
    <row r="215" spans="1:8" x14ac:dyDescent="0.2">
      <c r="A215" s="7" t="s">
        <v>305</v>
      </c>
      <c r="H215" s="9"/>
    </row>
    <row r="216" spans="1:8" x14ac:dyDescent="0.2">
      <c r="A216" s="7"/>
      <c r="H216" s="9"/>
    </row>
    <row r="217" spans="1:8" x14ac:dyDescent="0.2">
      <c r="A217" s="7"/>
      <c r="B217" s="209" t="s">
        <v>306</v>
      </c>
      <c r="C217" s="209"/>
      <c r="D217" s="209"/>
      <c r="E217" s="19" t="s">
        <v>307</v>
      </c>
      <c r="F217" s="210" t="s">
        <v>308</v>
      </c>
      <c r="G217" s="210"/>
      <c r="H217" s="211"/>
    </row>
    <row r="218" spans="1:8" x14ac:dyDescent="0.2">
      <c r="A218" s="7"/>
      <c r="E218" s="19" t="s">
        <v>309</v>
      </c>
      <c r="H218" s="9"/>
    </row>
    <row r="219" spans="1:8" x14ac:dyDescent="0.2">
      <c r="A219" s="7"/>
      <c r="H219" s="9"/>
    </row>
    <row r="220" spans="1:8" x14ac:dyDescent="0.2">
      <c r="A220" s="7" t="s">
        <v>310</v>
      </c>
      <c r="H220" s="9"/>
    </row>
    <row r="221" spans="1:8" x14ac:dyDescent="0.2">
      <c r="A221" s="7"/>
      <c r="B221" s="1" t="s">
        <v>311</v>
      </c>
      <c r="F221" s="1" t="s">
        <v>312</v>
      </c>
      <c r="H221" s="9"/>
    </row>
    <row r="222" spans="1:8" x14ac:dyDescent="0.2">
      <c r="A222" s="7"/>
      <c r="B222" s="1" t="s">
        <v>313</v>
      </c>
      <c r="F222" s="1" t="s">
        <v>314</v>
      </c>
      <c r="H222" s="9"/>
    </row>
    <row r="223" spans="1:8" x14ac:dyDescent="0.2">
      <c r="A223" s="7"/>
      <c r="B223" s="1" t="s">
        <v>315</v>
      </c>
      <c r="F223" s="1" t="s">
        <v>316</v>
      </c>
      <c r="H223" s="9"/>
    </row>
    <row r="224" spans="1:8" x14ac:dyDescent="0.2">
      <c r="A224" s="7"/>
      <c r="B224" s="1" t="s">
        <v>317</v>
      </c>
      <c r="H224" s="9"/>
    </row>
    <row r="225" spans="1:8" x14ac:dyDescent="0.2">
      <c r="A225" s="7"/>
      <c r="D225" s="1" t="s">
        <v>318</v>
      </c>
      <c r="H225" s="9"/>
    </row>
    <row r="226" spans="1:8" x14ac:dyDescent="0.2">
      <c r="A226" s="7"/>
      <c r="D226" s="1" t="s">
        <v>319</v>
      </c>
      <c r="H226" s="9"/>
    </row>
    <row r="227" spans="1:8" x14ac:dyDescent="0.2">
      <c r="A227" s="7"/>
      <c r="D227" s="1" t="s">
        <v>320</v>
      </c>
      <c r="H227" s="9"/>
    </row>
    <row r="228" spans="1:8" x14ac:dyDescent="0.2">
      <c r="A228" s="7"/>
      <c r="H228" s="9"/>
    </row>
    <row r="229" spans="1:8" x14ac:dyDescent="0.2">
      <c r="A229" s="7"/>
      <c r="D229" s="1" t="s">
        <v>321</v>
      </c>
      <c r="H229" s="9"/>
    </row>
    <row r="230" spans="1:8" x14ac:dyDescent="0.2">
      <c r="A230" s="7"/>
      <c r="D230" s="1" t="s">
        <v>322</v>
      </c>
      <c r="H230" s="9"/>
    </row>
    <row r="231" spans="1:8" ht="17" thickBot="1" x14ac:dyDescent="0.25">
      <c r="A231" s="10"/>
      <c r="B231" s="11"/>
      <c r="C231" s="11"/>
      <c r="D231" s="11" t="s">
        <v>323</v>
      </c>
      <c r="E231" s="11"/>
      <c r="F231" s="11"/>
      <c r="G231" s="11"/>
      <c r="H231" s="12"/>
    </row>
    <row r="233" spans="1:8" x14ac:dyDescent="0.2">
      <c r="A233" s="3" t="s">
        <v>324</v>
      </c>
      <c r="B233" s="41"/>
      <c r="C233" s="41"/>
      <c r="D233" s="41"/>
      <c r="E233" s="41"/>
      <c r="F233" s="41"/>
      <c r="G233" s="41"/>
      <c r="H233" s="41"/>
    </row>
    <row r="234" spans="1:8" x14ac:dyDescent="0.2">
      <c r="A234" s="1" t="s">
        <v>325</v>
      </c>
    </row>
    <row r="235" spans="1:8" x14ac:dyDescent="0.2">
      <c r="A235" s="1" t="s">
        <v>326</v>
      </c>
    </row>
    <row r="236" spans="1:8" x14ac:dyDescent="0.2">
      <c r="A236" s="1" t="s">
        <v>327</v>
      </c>
    </row>
    <row r="237" spans="1:8" x14ac:dyDescent="0.2">
      <c r="A237" s="1" t="s">
        <v>328</v>
      </c>
    </row>
    <row r="238" spans="1:8" x14ac:dyDescent="0.2">
      <c r="A238" s="1" t="s">
        <v>329</v>
      </c>
    </row>
    <row r="239" spans="1:8" x14ac:dyDescent="0.2">
      <c r="A239" s="1" t="s">
        <v>330</v>
      </c>
    </row>
    <row r="240" spans="1:8" x14ac:dyDescent="0.2">
      <c r="A240" s="1" t="s">
        <v>331</v>
      </c>
    </row>
    <row r="242" spans="1:9" x14ac:dyDescent="0.2">
      <c r="B242" s="47"/>
      <c r="C242" s="47"/>
      <c r="D242" s="47" t="s">
        <v>296</v>
      </c>
      <c r="E242" s="47" t="s">
        <v>296</v>
      </c>
      <c r="H242" s="1" t="s">
        <v>296</v>
      </c>
    </row>
    <row r="243" spans="1:9" x14ac:dyDescent="0.2">
      <c r="B243" s="47"/>
      <c r="C243" s="47"/>
      <c r="D243" s="47" t="s">
        <v>307</v>
      </c>
      <c r="E243" s="47" t="s">
        <v>297</v>
      </c>
      <c r="H243" s="1" t="s">
        <v>332</v>
      </c>
    </row>
    <row r="244" spans="1:9" x14ac:dyDescent="0.2">
      <c r="B244" s="48">
        <v>43465</v>
      </c>
      <c r="C244" s="48">
        <v>43830</v>
      </c>
      <c r="D244" s="48">
        <v>44012</v>
      </c>
      <c r="E244" s="48">
        <v>44012</v>
      </c>
      <c r="F244" s="49">
        <v>44196</v>
      </c>
      <c r="G244" s="49">
        <v>44561</v>
      </c>
      <c r="H244" s="50">
        <v>44834</v>
      </c>
      <c r="I244" s="49">
        <v>44926</v>
      </c>
    </row>
    <row r="245" spans="1:9" x14ac:dyDescent="0.2">
      <c r="A245" s="1" t="s">
        <v>95</v>
      </c>
      <c r="B245" s="23">
        <v>150000</v>
      </c>
      <c r="C245" s="23">
        <f>B245</f>
        <v>150000</v>
      </c>
      <c r="D245" s="23">
        <f>C245</f>
        <v>150000</v>
      </c>
      <c r="E245" s="23">
        <f>D245+70000</f>
        <v>220000</v>
      </c>
      <c r="F245" s="23">
        <f>E245</f>
        <v>220000</v>
      </c>
      <c r="G245" s="23">
        <f>F245</f>
        <v>220000</v>
      </c>
      <c r="H245" s="23">
        <f>G245</f>
        <v>220000</v>
      </c>
      <c r="I245" s="1">
        <v>0</v>
      </c>
    </row>
    <row r="246" spans="1:9" x14ac:dyDescent="0.2">
      <c r="A246" s="1" t="s">
        <v>96</v>
      </c>
      <c r="B246" s="1">
        <f>-B249</f>
        <v>-30000</v>
      </c>
      <c r="C246" s="1">
        <f>B246-C249</f>
        <v>-60000</v>
      </c>
      <c r="D246" s="1">
        <f>C246-D249</f>
        <v>-75000</v>
      </c>
      <c r="E246" s="1">
        <f>D246</f>
        <v>-75000</v>
      </c>
      <c r="F246" s="23">
        <f>C246-F249</f>
        <v>-85416.666666666657</v>
      </c>
      <c r="G246" s="23">
        <f>F246-G249</f>
        <v>-106249.99999999999</v>
      </c>
      <c r="H246" s="23">
        <f>G246-H249</f>
        <v>-121874.99999999999</v>
      </c>
      <c r="I246" s="1">
        <v>0</v>
      </c>
    </row>
    <row r="247" spans="1:9" x14ac:dyDescent="0.2">
      <c r="A247" s="1" t="s">
        <v>99</v>
      </c>
      <c r="B247" s="51">
        <f>B245+B246</f>
        <v>120000</v>
      </c>
      <c r="C247" s="51">
        <f t="shared" ref="C247:D247" si="1">C245+C246</f>
        <v>90000</v>
      </c>
      <c r="D247" s="51">
        <f t="shared" si="1"/>
        <v>75000</v>
      </c>
      <c r="E247" s="52">
        <f>E245+E246</f>
        <v>145000</v>
      </c>
      <c r="F247" s="51">
        <f>F245+F246</f>
        <v>134583.33333333334</v>
      </c>
      <c r="G247" s="51">
        <f>G245+G246</f>
        <v>113750.00000000001</v>
      </c>
      <c r="H247" s="51">
        <f>H245+H246</f>
        <v>98125.000000000015</v>
      </c>
      <c r="I247" s="37">
        <v>0</v>
      </c>
    </row>
    <row r="249" spans="1:9" x14ac:dyDescent="0.2">
      <c r="A249" s="1" t="s">
        <v>100</v>
      </c>
      <c r="B249" s="1">
        <f>(150000-0)/5</f>
        <v>30000</v>
      </c>
      <c r="C249" s="1">
        <f>B249</f>
        <v>30000</v>
      </c>
      <c r="D249" s="1">
        <f>C249*6/12</f>
        <v>15000</v>
      </c>
      <c r="F249" s="53">
        <f>15000+((75000+70000)-20000)/(5-2.5+3.5)*(6/12)</f>
        <v>25416.666666666664</v>
      </c>
      <c r="G249" s="53">
        <f>((75000+70000)-20000)/(5-2.5+3.5)</f>
        <v>20833.333333333332</v>
      </c>
      <c r="H249" s="23">
        <f>(145000-20000)/(5-2.5+3.5)*(9/12)</f>
        <v>15625</v>
      </c>
      <c r="I249" s="23">
        <f>H249</f>
        <v>15625</v>
      </c>
    </row>
    <row r="251" spans="1:9" x14ac:dyDescent="0.2">
      <c r="A251" s="1" t="s">
        <v>302</v>
      </c>
      <c r="I251" s="23">
        <f>44000-H247</f>
        <v>-54125.000000000015</v>
      </c>
    </row>
    <row r="252" spans="1:9" x14ac:dyDescent="0.2">
      <c r="I252" s="23"/>
    </row>
    <row r="253" spans="1:9" x14ac:dyDescent="0.2">
      <c r="A253" s="3" t="s">
        <v>333</v>
      </c>
      <c r="B253" s="41"/>
      <c r="C253" s="41"/>
      <c r="D253" s="41"/>
      <c r="E253" s="41"/>
      <c r="F253" s="41"/>
      <c r="G253" s="41"/>
      <c r="H253" s="41"/>
    </row>
    <row r="254" spans="1:9" x14ac:dyDescent="0.2">
      <c r="A254" s="1" t="s">
        <v>334</v>
      </c>
    </row>
    <row r="255" spans="1:9" x14ac:dyDescent="0.2">
      <c r="A255" s="1" t="s">
        <v>326</v>
      </c>
    </row>
    <row r="256" spans="1:9" x14ac:dyDescent="0.2">
      <c r="A256" s="1" t="s">
        <v>335</v>
      </c>
    </row>
    <row r="257" spans="1:9" x14ac:dyDescent="0.2">
      <c r="A257" s="1" t="s">
        <v>328</v>
      </c>
    </row>
    <row r="258" spans="1:9" x14ac:dyDescent="0.2">
      <c r="A258" s="1" t="s">
        <v>329</v>
      </c>
    </row>
    <row r="259" spans="1:9" x14ac:dyDescent="0.2">
      <c r="A259" s="1" t="s">
        <v>330</v>
      </c>
    </row>
    <row r="260" spans="1:9" ht="17" thickBot="1" x14ac:dyDescent="0.25"/>
    <row r="261" spans="1:9" ht="17" thickBot="1" x14ac:dyDescent="0.25">
      <c r="A261" s="32" t="s">
        <v>331</v>
      </c>
      <c r="B261" s="33"/>
      <c r="C261" s="33"/>
      <c r="D261" s="33"/>
      <c r="E261" s="33"/>
      <c r="F261" s="33"/>
      <c r="G261" s="33"/>
      <c r="H261" s="34"/>
    </row>
    <row r="263" spans="1:9" x14ac:dyDescent="0.2">
      <c r="A263" s="2" t="s">
        <v>336</v>
      </c>
    </row>
    <row r="264" spans="1:9" x14ac:dyDescent="0.2">
      <c r="A264" s="2" t="s">
        <v>337</v>
      </c>
    </row>
    <row r="265" spans="1:9" x14ac:dyDescent="0.2">
      <c r="D265" s="1" t="s">
        <v>338</v>
      </c>
      <c r="E265" s="1" t="s">
        <v>339</v>
      </c>
      <c r="H265" s="1" t="s">
        <v>340</v>
      </c>
    </row>
    <row r="266" spans="1:9" x14ac:dyDescent="0.2">
      <c r="B266" s="49">
        <v>43465</v>
      </c>
      <c r="C266" s="49">
        <v>43830</v>
      </c>
      <c r="D266" s="49">
        <v>44012</v>
      </c>
      <c r="E266" s="49">
        <v>44012</v>
      </c>
      <c r="F266" s="49">
        <v>44196</v>
      </c>
      <c r="G266" s="49">
        <v>44561</v>
      </c>
      <c r="H266" s="49">
        <v>44834</v>
      </c>
      <c r="I266" s="49">
        <v>44926</v>
      </c>
    </row>
    <row r="267" spans="1:9" x14ac:dyDescent="0.2">
      <c r="A267" s="1" t="s">
        <v>95</v>
      </c>
      <c r="B267" s="1">
        <v>150000</v>
      </c>
      <c r="C267" s="1">
        <v>150000</v>
      </c>
      <c r="D267" s="1">
        <v>150000</v>
      </c>
      <c r="E267" s="1">
        <f>D267+70000</f>
        <v>220000</v>
      </c>
      <c r="F267" s="1">
        <f>E267</f>
        <v>220000</v>
      </c>
      <c r="G267" s="1">
        <f>F267</f>
        <v>220000</v>
      </c>
      <c r="H267" s="1">
        <f>G267</f>
        <v>220000</v>
      </c>
      <c r="I267" s="1">
        <v>0</v>
      </c>
    </row>
    <row r="268" spans="1:9" x14ac:dyDescent="0.2">
      <c r="A268" s="1" t="s">
        <v>96</v>
      </c>
      <c r="B268" s="1">
        <f>-B271</f>
        <v>-50000</v>
      </c>
      <c r="C268" s="1">
        <f>B268-C271</f>
        <v>-90000</v>
      </c>
      <c r="D268" s="1">
        <f>C268-D271</f>
        <v>-105000</v>
      </c>
      <c r="E268" s="1">
        <f>D268</f>
        <v>-105000</v>
      </c>
      <c r="F268" s="54">
        <f>C268-F271</f>
        <v>-118571.42857142858</v>
      </c>
      <c r="G268" s="54">
        <f>F268-G271</f>
        <v>-143452.38095238095</v>
      </c>
      <c r="H268" s="54">
        <f>G268-H271</f>
        <v>-159285.71428571429</v>
      </c>
      <c r="I268" s="1">
        <v>0</v>
      </c>
    </row>
    <row r="269" spans="1:9" x14ac:dyDescent="0.2">
      <c r="A269" s="1" t="s">
        <v>341</v>
      </c>
      <c r="B269" s="1">
        <f t="shared" ref="B269:H269" si="2">B267+B268</f>
        <v>100000</v>
      </c>
      <c r="C269" s="1">
        <f t="shared" si="2"/>
        <v>60000</v>
      </c>
      <c r="D269" s="1">
        <f t="shared" si="2"/>
        <v>45000</v>
      </c>
      <c r="E269" s="1">
        <f t="shared" si="2"/>
        <v>115000</v>
      </c>
      <c r="F269" s="54">
        <f t="shared" si="2"/>
        <v>101428.57142857142</v>
      </c>
      <c r="G269" s="54">
        <f t="shared" si="2"/>
        <v>76547.619047619053</v>
      </c>
      <c r="H269" s="54">
        <f t="shared" si="2"/>
        <v>60714.28571428571</v>
      </c>
      <c r="I269" s="1">
        <v>0</v>
      </c>
    </row>
    <row r="271" spans="1:9" x14ac:dyDescent="0.2">
      <c r="A271" s="1" t="s">
        <v>100</v>
      </c>
      <c r="B271" s="1">
        <f>(150000-0)*5/(5*6/2)</f>
        <v>50000</v>
      </c>
      <c r="C271" s="1">
        <f>(150000-0)*4/(5*6/2)</f>
        <v>40000</v>
      </c>
      <c r="D271" s="1">
        <f>(150000-0)*3*(6/12)/(5*6/2)</f>
        <v>15000</v>
      </c>
      <c r="F271" s="54">
        <f>D271+(115000-20000)*6*(6/12)/(6*7/2)</f>
        <v>28571.428571428572</v>
      </c>
      <c r="G271" s="54">
        <f>(115000-20000)*6*(6/12)/(6*7/2)+(115000-20000)*5*(6/12)/(6*7/2)</f>
        <v>24880.952380952382</v>
      </c>
      <c r="H271" s="54">
        <f>(115000-20000)*5*(6/12)/(6*7/2)+(115000-20000)*4*(3/12)/(6*7/2)</f>
        <v>15833.333333333332</v>
      </c>
      <c r="I271" s="54">
        <f>H271</f>
        <v>15833.333333333332</v>
      </c>
    </row>
    <row r="273" spans="1:9" x14ac:dyDescent="0.2">
      <c r="A273" s="1" t="s">
        <v>302</v>
      </c>
      <c r="I273" s="54">
        <f>44000-H269</f>
        <v>-16714.28571428571</v>
      </c>
    </row>
    <row r="275" spans="1:9" x14ac:dyDescent="0.2">
      <c r="A275" s="1" t="s">
        <v>342</v>
      </c>
      <c r="D275" s="1" t="s">
        <v>343</v>
      </c>
      <c r="F275" s="23">
        <f>E269</f>
        <v>115000</v>
      </c>
    </row>
    <row r="276" spans="1:9" x14ac:dyDescent="0.2">
      <c r="D276" s="1" t="s">
        <v>344</v>
      </c>
      <c r="F276" s="1">
        <v>20000</v>
      </c>
    </row>
    <row r="277" spans="1:9" x14ac:dyDescent="0.2">
      <c r="D277" s="1" t="s">
        <v>345</v>
      </c>
      <c r="F277" s="55">
        <f>F275-F276</f>
        <v>95000</v>
      </c>
    </row>
    <row r="279" spans="1:9" x14ac:dyDescent="0.2">
      <c r="D279" s="1" t="s">
        <v>346</v>
      </c>
    </row>
    <row r="280" spans="1:9" x14ac:dyDescent="0.2">
      <c r="D280" s="1" t="s">
        <v>347</v>
      </c>
      <c r="F280" s="1">
        <v>5</v>
      </c>
    </row>
    <row r="281" spans="1:9" x14ac:dyDescent="0.2">
      <c r="D281" s="1" t="s">
        <v>348</v>
      </c>
      <c r="F281" s="1">
        <v>-2.5</v>
      </c>
      <c r="G281" s="1" t="s">
        <v>349</v>
      </c>
    </row>
    <row r="282" spans="1:9" x14ac:dyDescent="0.2">
      <c r="D282" s="1" t="s">
        <v>350</v>
      </c>
      <c r="F282" s="1">
        <v>3.5</v>
      </c>
      <c r="G282" s="1" t="s">
        <v>351</v>
      </c>
    </row>
    <row r="283" spans="1:9" x14ac:dyDescent="0.2">
      <c r="D283" s="1" t="s">
        <v>352</v>
      </c>
      <c r="F283" s="45">
        <f>SUM(F280:F282)</f>
        <v>6</v>
      </c>
    </row>
    <row r="285" spans="1:9" x14ac:dyDescent="0.2">
      <c r="D285" s="1" t="s">
        <v>353</v>
      </c>
      <c r="F285" s="1" t="s">
        <v>354</v>
      </c>
    </row>
    <row r="287" spans="1:9" x14ac:dyDescent="0.2">
      <c r="D287" s="1" t="s">
        <v>355</v>
      </c>
    </row>
    <row r="288" spans="1:9" x14ac:dyDescent="0.2">
      <c r="G288" s="1" t="s">
        <v>356</v>
      </c>
    </row>
    <row r="290" spans="2:9" x14ac:dyDescent="0.2">
      <c r="D290" s="1" t="s">
        <v>357</v>
      </c>
      <c r="F290" s="1" t="s">
        <v>358</v>
      </c>
      <c r="H290" s="1" t="s">
        <v>359</v>
      </c>
    </row>
    <row r="291" spans="2:9" x14ac:dyDescent="0.2">
      <c r="B291" s="19"/>
      <c r="C291" s="19"/>
      <c r="D291" s="19" t="s">
        <v>301</v>
      </c>
      <c r="E291" s="19"/>
      <c r="F291" s="19"/>
      <c r="G291" s="19"/>
      <c r="H291" s="19"/>
      <c r="I291" s="19"/>
    </row>
    <row r="292" spans="2:9" x14ac:dyDescent="0.2">
      <c r="C292" s="56">
        <v>45107</v>
      </c>
      <c r="D292" s="56">
        <v>44834</v>
      </c>
      <c r="E292" s="56">
        <v>44742</v>
      </c>
      <c r="F292" s="57">
        <v>44561</v>
      </c>
      <c r="G292" s="56">
        <v>44377</v>
      </c>
      <c r="H292" s="57">
        <v>44196</v>
      </c>
      <c r="I292" s="56">
        <v>44012</v>
      </c>
    </row>
    <row r="295" spans="2:9" x14ac:dyDescent="0.2">
      <c r="I295" s="1" t="s">
        <v>360</v>
      </c>
    </row>
    <row r="296" spans="2:9" x14ac:dyDescent="0.2">
      <c r="C296" s="1" t="s">
        <v>361</v>
      </c>
      <c r="F296" s="1" t="s">
        <v>362</v>
      </c>
      <c r="I296" s="1" t="s">
        <v>363</v>
      </c>
    </row>
    <row r="297" spans="2:9" x14ac:dyDescent="0.2">
      <c r="I297" s="31">
        <f>95000*6*0.5/21</f>
        <v>13571.428571428571</v>
      </c>
    </row>
    <row r="298" spans="2:9" x14ac:dyDescent="0.2">
      <c r="I298" s="1" t="s">
        <v>100</v>
      </c>
    </row>
    <row r="299" spans="2:9" x14ac:dyDescent="0.2">
      <c r="D299" s="1" t="s">
        <v>362</v>
      </c>
      <c r="I299" s="1" t="s">
        <v>364</v>
      </c>
    </row>
    <row r="300" spans="2:9" x14ac:dyDescent="0.2">
      <c r="G300" s="1" t="s">
        <v>360</v>
      </c>
      <c r="I300" s="1">
        <v>2020</v>
      </c>
    </row>
    <row r="301" spans="2:9" x14ac:dyDescent="0.2">
      <c r="D301" s="31">
        <f>95000*5*0.5/21+95000*4*0.25/21</f>
        <v>15833.333333333332</v>
      </c>
    </row>
    <row r="302" spans="2:9" x14ac:dyDescent="0.2">
      <c r="D302" s="1" t="s">
        <v>365</v>
      </c>
      <c r="G302" s="1" t="s">
        <v>363</v>
      </c>
    </row>
    <row r="303" spans="2:9" x14ac:dyDescent="0.2">
      <c r="G303" s="31">
        <f>95000*(6*6/12)/21+95000*5*0.5/21</f>
        <v>24880.952380952382</v>
      </c>
    </row>
    <row r="304" spans="2:9" x14ac:dyDescent="0.2">
      <c r="G304" s="1" t="s">
        <v>366</v>
      </c>
    </row>
    <row r="307" spans="1:8" x14ac:dyDescent="0.2">
      <c r="D307" s="2" t="s">
        <v>367</v>
      </c>
    </row>
    <row r="313" spans="1:8" x14ac:dyDescent="0.2">
      <c r="A313" s="58" t="s">
        <v>368</v>
      </c>
      <c r="B313" s="59"/>
      <c r="C313" s="59"/>
      <c r="D313" s="59"/>
      <c r="E313" s="59"/>
      <c r="F313" s="59"/>
      <c r="G313" s="59"/>
      <c r="H313" s="58" t="s">
        <v>369</v>
      </c>
    </row>
    <row r="314" spans="1:8" x14ac:dyDescent="0.2">
      <c r="H314" s="1" t="s">
        <v>370</v>
      </c>
    </row>
    <row r="315" spans="1:8" x14ac:dyDescent="0.2">
      <c r="H315" s="1" t="s">
        <v>371</v>
      </c>
    </row>
    <row r="316" spans="1:8" x14ac:dyDescent="0.2">
      <c r="H316" s="1" t="s">
        <v>372</v>
      </c>
    </row>
    <row r="317" spans="1:8" x14ac:dyDescent="0.2">
      <c r="H317" s="1" t="s">
        <v>373</v>
      </c>
    </row>
    <row r="318" spans="1:8" x14ac:dyDescent="0.2">
      <c r="H318" s="1" t="s">
        <v>374</v>
      </c>
    </row>
    <row r="319" spans="1:8" x14ac:dyDescent="0.2">
      <c r="H319" s="1" t="s">
        <v>375</v>
      </c>
    </row>
    <row r="320" spans="1:8" x14ac:dyDescent="0.2">
      <c r="H320" s="1" t="s">
        <v>376</v>
      </c>
    </row>
    <row r="321" spans="1:8" x14ac:dyDescent="0.2">
      <c r="H321" s="1" t="s">
        <v>377</v>
      </c>
    </row>
    <row r="322" spans="1:8" x14ac:dyDescent="0.2">
      <c r="H322" s="1" t="s">
        <v>378</v>
      </c>
    </row>
    <row r="323" spans="1:8" x14ac:dyDescent="0.2">
      <c r="H323" s="1" t="s">
        <v>379</v>
      </c>
    </row>
    <row r="324" spans="1:8" x14ac:dyDescent="0.2">
      <c r="H324" s="1" t="s">
        <v>380</v>
      </c>
    </row>
    <row r="325" spans="1:8" x14ac:dyDescent="0.2">
      <c r="H325" s="1" t="s">
        <v>381</v>
      </c>
    </row>
    <row r="326" spans="1:8" x14ac:dyDescent="0.2">
      <c r="H326" s="1" t="s">
        <v>382</v>
      </c>
    </row>
    <row r="328" spans="1:8" x14ac:dyDescent="0.2">
      <c r="A328" s="58" t="s">
        <v>383</v>
      </c>
      <c r="B328" s="59"/>
      <c r="C328" s="59"/>
      <c r="D328" s="59"/>
      <c r="E328" s="59"/>
      <c r="F328" s="59"/>
      <c r="G328" s="59"/>
      <c r="H328" s="59"/>
    </row>
    <row r="329" spans="1:8" x14ac:dyDescent="0.2">
      <c r="A329" s="1" t="s">
        <v>384</v>
      </c>
    </row>
    <row r="330" spans="1:8" x14ac:dyDescent="0.2">
      <c r="A330" s="1" t="s">
        <v>385</v>
      </c>
    </row>
    <row r="331" spans="1:8" x14ac:dyDescent="0.2">
      <c r="A331" s="1" t="s">
        <v>386</v>
      </c>
    </row>
    <row r="333" spans="1:8" x14ac:dyDescent="0.2">
      <c r="A333" s="3" t="s">
        <v>387</v>
      </c>
      <c r="B333" s="3"/>
      <c r="C333" s="3"/>
      <c r="D333" s="3"/>
      <c r="E333" s="3"/>
      <c r="F333" s="3"/>
      <c r="G333" s="3"/>
      <c r="H333" s="3"/>
    </row>
    <row r="334" spans="1:8" x14ac:dyDescent="0.2">
      <c r="A334" s="1" t="s">
        <v>388</v>
      </c>
    </row>
    <row r="335" spans="1:8" x14ac:dyDescent="0.2">
      <c r="A335" s="1" t="s">
        <v>389</v>
      </c>
    </row>
    <row r="336" spans="1:8" x14ac:dyDescent="0.2">
      <c r="A336" s="1" t="s">
        <v>390</v>
      </c>
    </row>
    <row r="337" spans="1:8" x14ac:dyDescent="0.2">
      <c r="A337" s="1" t="s">
        <v>391</v>
      </c>
    </row>
    <row r="338" spans="1:8" x14ac:dyDescent="0.2">
      <c r="A338" s="1" t="s">
        <v>392</v>
      </c>
    </row>
    <row r="339" spans="1:8" x14ac:dyDescent="0.2">
      <c r="A339" s="1" t="s">
        <v>393</v>
      </c>
    </row>
    <row r="341" spans="1:8" x14ac:dyDescent="0.2">
      <c r="A341" s="1" t="s">
        <v>394</v>
      </c>
    </row>
    <row r="342" spans="1:8" s="47" customFormat="1" x14ac:dyDescent="0.2"/>
    <row r="343" spans="1:8" s="47" customFormat="1" x14ac:dyDescent="0.2">
      <c r="A343" s="47" t="s">
        <v>395</v>
      </c>
    </row>
    <row r="344" spans="1:8" s="47" customFormat="1" x14ac:dyDescent="0.2">
      <c r="A344" s="47" t="s">
        <v>396</v>
      </c>
    </row>
    <row r="345" spans="1:8" s="47" customFormat="1" x14ac:dyDescent="0.2">
      <c r="A345" s="47" t="s">
        <v>397</v>
      </c>
    </row>
    <row r="346" spans="1:8" s="47" customFormat="1" x14ac:dyDescent="0.2"/>
    <row r="347" spans="1:8" s="47" customFormat="1" x14ac:dyDescent="0.2"/>
    <row r="348" spans="1:8" x14ac:dyDescent="0.2">
      <c r="A348" s="58" t="s">
        <v>398</v>
      </c>
      <c r="B348" s="58"/>
      <c r="C348" s="58"/>
      <c r="D348" s="58"/>
      <c r="E348" s="58"/>
      <c r="F348" s="58"/>
      <c r="G348" s="58"/>
      <c r="H348" s="58" t="s">
        <v>399</v>
      </c>
    </row>
    <row r="349" spans="1:8" x14ac:dyDescent="0.2">
      <c r="H349" s="1" t="s">
        <v>400</v>
      </c>
    </row>
    <row r="350" spans="1:8" x14ac:dyDescent="0.2">
      <c r="H350" s="1" t="s">
        <v>401</v>
      </c>
    </row>
    <row r="351" spans="1:8" x14ac:dyDescent="0.2">
      <c r="H351" s="1" t="s">
        <v>402</v>
      </c>
    </row>
    <row r="352" spans="1:8" x14ac:dyDescent="0.2">
      <c r="H352" s="1" t="s">
        <v>403</v>
      </c>
    </row>
    <row r="353" spans="1:8" x14ac:dyDescent="0.2">
      <c r="H353" s="1" t="s">
        <v>404</v>
      </c>
    </row>
    <row r="355" spans="1:8" x14ac:dyDescent="0.2">
      <c r="A355" s="58" t="s">
        <v>383</v>
      </c>
      <c r="B355" s="58"/>
      <c r="C355" s="58"/>
      <c r="D355" s="58"/>
      <c r="E355" s="58"/>
      <c r="F355" s="58"/>
      <c r="G355" s="58"/>
      <c r="H355" s="58"/>
    </row>
    <row r="356" spans="1:8" x14ac:dyDescent="0.2">
      <c r="A356" s="1" t="s">
        <v>405</v>
      </c>
    </row>
    <row r="357" spans="1:8" x14ac:dyDescent="0.2">
      <c r="A357" s="1" t="s">
        <v>406</v>
      </c>
    </row>
    <row r="358" spans="1:8" x14ac:dyDescent="0.2">
      <c r="A358" s="1" t="s">
        <v>407</v>
      </c>
    </row>
    <row r="362" spans="1:8" x14ac:dyDescent="0.2">
      <c r="A362" s="3" t="s">
        <v>408</v>
      </c>
      <c r="B362" s="3"/>
      <c r="C362" s="3"/>
      <c r="D362" s="3"/>
      <c r="E362" s="3"/>
      <c r="F362" s="3"/>
      <c r="G362" s="3"/>
      <c r="H362" s="3"/>
    </row>
    <row r="363" spans="1:8" x14ac:dyDescent="0.2">
      <c r="A363" s="60" t="s">
        <v>409</v>
      </c>
      <c r="B363" s="60"/>
      <c r="C363" s="60"/>
      <c r="D363" s="60"/>
      <c r="E363" s="60"/>
      <c r="F363" s="60"/>
      <c r="G363" s="60"/>
      <c r="H363" s="60"/>
    </row>
    <row r="364" spans="1:8" x14ac:dyDescent="0.2">
      <c r="A364" s="60" t="s">
        <v>410</v>
      </c>
      <c r="B364" s="60"/>
      <c r="C364" s="60"/>
      <c r="D364" s="60"/>
      <c r="E364" s="60"/>
      <c r="F364" s="60"/>
      <c r="G364" s="60"/>
      <c r="H364" s="60"/>
    </row>
    <row r="365" spans="1:8" x14ac:dyDescent="0.2">
      <c r="A365" s="60" t="s">
        <v>411</v>
      </c>
      <c r="B365" s="60"/>
      <c r="C365" s="60"/>
      <c r="D365" s="60"/>
      <c r="E365" s="60"/>
      <c r="F365" s="60"/>
      <c r="G365" s="60"/>
      <c r="H365" s="60"/>
    </row>
    <row r="366" spans="1:8" x14ac:dyDescent="0.2">
      <c r="A366" s="60"/>
      <c r="B366" s="60"/>
      <c r="C366" s="60"/>
      <c r="D366" s="60"/>
      <c r="E366" s="60"/>
      <c r="F366" s="60"/>
      <c r="G366" s="60"/>
      <c r="H366" s="60"/>
    </row>
    <row r="367" spans="1:8" x14ac:dyDescent="0.2">
      <c r="A367" s="61" t="s">
        <v>412</v>
      </c>
      <c r="B367" s="60"/>
      <c r="C367" s="60"/>
      <c r="D367" s="60"/>
      <c r="E367" s="60"/>
      <c r="F367" s="60"/>
      <c r="G367" s="60"/>
      <c r="H367" s="60"/>
    </row>
    <row r="368" spans="1:8" x14ac:dyDescent="0.2">
      <c r="A368" s="60" t="s">
        <v>413</v>
      </c>
      <c r="B368" s="60"/>
      <c r="C368" s="60"/>
      <c r="D368" s="60"/>
      <c r="E368" s="60"/>
      <c r="F368" s="60"/>
      <c r="G368" s="60"/>
      <c r="H368" s="60"/>
    </row>
    <row r="369" spans="1:8" x14ac:dyDescent="0.2">
      <c r="A369" s="60" t="s">
        <v>414</v>
      </c>
      <c r="B369" s="60"/>
      <c r="C369" s="60"/>
      <c r="D369" s="60"/>
      <c r="E369" s="60"/>
      <c r="F369" s="60"/>
      <c r="G369" s="60"/>
      <c r="H369" s="60"/>
    </row>
    <row r="370" spans="1:8" x14ac:dyDescent="0.2">
      <c r="A370" s="60" t="s">
        <v>415</v>
      </c>
      <c r="B370" s="60"/>
      <c r="C370" s="60"/>
      <c r="D370" s="60"/>
      <c r="E370" s="60"/>
      <c r="F370" s="60"/>
      <c r="G370" s="60"/>
      <c r="H370" s="60"/>
    </row>
    <row r="371" spans="1:8" x14ac:dyDescent="0.2">
      <c r="A371" s="60" t="s">
        <v>416</v>
      </c>
      <c r="B371" s="60"/>
      <c r="C371" s="60"/>
      <c r="D371" s="60"/>
      <c r="E371" s="60"/>
      <c r="F371" s="60"/>
      <c r="G371" s="60"/>
      <c r="H371" s="60"/>
    </row>
    <row r="372" spans="1:8" x14ac:dyDescent="0.2">
      <c r="A372" s="60"/>
      <c r="B372" s="60"/>
      <c r="C372" s="60"/>
      <c r="D372" s="60"/>
      <c r="E372" s="60"/>
      <c r="F372" s="60"/>
      <c r="G372" s="60"/>
      <c r="H372" s="60"/>
    </row>
    <row r="373" spans="1:8" x14ac:dyDescent="0.2">
      <c r="A373" s="60" t="s">
        <v>417</v>
      </c>
      <c r="B373" s="60"/>
      <c r="C373" s="60"/>
      <c r="D373" s="60"/>
      <c r="E373" s="60"/>
      <c r="F373" s="60"/>
      <c r="G373" s="60"/>
      <c r="H373" s="60"/>
    </row>
    <row r="374" spans="1:8" x14ac:dyDescent="0.2">
      <c r="A374" s="60" t="s">
        <v>418</v>
      </c>
      <c r="B374" s="60"/>
      <c r="C374" s="60"/>
      <c r="D374" s="60"/>
      <c r="E374" s="60"/>
      <c r="F374" s="60"/>
      <c r="G374" s="60"/>
      <c r="H374" s="60"/>
    </row>
    <row r="375" spans="1:8" ht="17" thickBot="1" x14ac:dyDescent="0.25">
      <c r="A375" s="60"/>
      <c r="B375" s="60"/>
      <c r="C375" s="60"/>
      <c r="D375" s="60"/>
      <c r="E375" s="60"/>
      <c r="F375" s="60"/>
      <c r="G375" s="60"/>
      <c r="H375" s="60"/>
    </row>
    <row r="376" spans="1:8" s="2" customFormat="1" x14ac:dyDescent="0.2">
      <c r="A376" s="62" t="s">
        <v>419</v>
      </c>
      <c r="B376" s="63"/>
      <c r="C376" s="63"/>
      <c r="D376" s="63"/>
      <c r="E376" s="63"/>
      <c r="F376" s="63"/>
      <c r="G376" s="63"/>
      <c r="H376" s="64"/>
    </row>
    <row r="377" spans="1:8" s="2" customFormat="1" ht="17" thickBot="1" x14ac:dyDescent="0.25">
      <c r="A377" s="65" t="s">
        <v>420</v>
      </c>
      <c r="B377" s="66"/>
      <c r="C377" s="66"/>
      <c r="D377" s="66"/>
      <c r="E377" s="66"/>
      <c r="F377" s="66"/>
      <c r="G377" s="66"/>
      <c r="H377" s="67"/>
    </row>
    <row r="381" spans="1:8" x14ac:dyDescent="0.2">
      <c r="A381" s="58" t="s">
        <v>398</v>
      </c>
      <c r="B381" s="58"/>
      <c r="C381" s="58"/>
      <c r="D381" s="58"/>
      <c r="E381" s="58"/>
      <c r="F381" s="58"/>
      <c r="G381" s="58"/>
      <c r="H381" s="58" t="s">
        <v>421</v>
      </c>
    </row>
    <row r="382" spans="1:8" x14ac:dyDescent="0.2">
      <c r="H382" s="1" t="s">
        <v>422</v>
      </c>
    </row>
    <row r="383" spans="1:8" x14ac:dyDescent="0.2">
      <c r="H383" s="1" t="s">
        <v>423</v>
      </c>
    </row>
    <row r="384" spans="1:8" x14ac:dyDescent="0.2">
      <c r="H384" s="1" t="s">
        <v>424</v>
      </c>
    </row>
    <row r="385" spans="1:8" x14ac:dyDescent="0.2">
      <c r="H385" s="1" t="s">
        <v>425</v>
      </c>
    </row>
    <row r="386" spans="1:8" x14ac:dyDescent="0.2">
      <c r="H386" s="1" t="s">
        <v>426</v>
      </c>
    </row>
    <row r="387" spans="1:8" x14ac:dyDescent="0.2">
      <c r="H387" s="1" t="s">
        <v>427</v>
      </c>
    </row>
    <row r="388" spans="1:8" x14ac:dyDescent="0.2">
      <c r="H388" s="1" t="s">
        <v>428</v>
      </c>
    </row>
    <row r="389" spans="1:8" x14ac:dyDescent="0.2">
      <c r="H389" s="1" t="s">
        <v>429</v>
      </c>
    </row>
    <row r="390" spans="1:8" x14ac:dyDescent="0.2">
      <c r="H390" s="1" t="s">
        <v>430</v>
      </c>
    </row>
    <row r="392" spans="1:8" x14ac:dyDescent="0.2">
      <c r="A392" s="58" t="s">
        <v>383</v>
      </c>
      <c r="B392" s="58"/>
      <c r="C392" s="58"/>
      <c r="D392" s="58"/>
      <c r="E392" s="58"/>
      <c r="F392" s="58"/>
      <c r="G392" s="58"/>
      <c r="H392" s="58"/>
    </row>
    <row r="393" spans="1:8" x14ac:dyDescent="0.2">
      <c r="A393" s="1" t="s">
        <v>431</v>
      </c>
    </row>
    <row r="394" spans="1:8" x14ac:dyDescent="0.2">
      <c r="A394" s="1" t="s">
        <v>432</v>
      </c>
    </row>
    <row r="395" spans="1:8" x14ac:dyDescent="0.2">
      <c r="A395" s="1" t="s">
        <v>433</v>
      </c>
    </row>
    <row r="396" spans="1:8" x14ac:dyDescent="0.2">
      <c r="A396" s="1" t="s">
        <v>434</v>
      </c>
    </row>
    <row r="397" spans="1:8" x14ac:dyDescent="0.2">
      <c r="A397" s="1" t="s">
        <v>435</v>
      </c>
    </row>
    <row r="399" spans="1:8" x14ac:dyDescent="0.2">
      <c r="A399" s="3" t="s">
        <v>436</v>
      </c>
      <c r="B399" s="3"/>
      <c r="C399" s="3"/>
      <c r="D399" s="3"/>
      <c r="E399" s="3"/>
      <c r="F399" s="3"/>
      <c r="G399" s="3"/>
      <c r="H399" s="3"/>
    </row>
    <row r="400" spans="1:8" x14ac:dyDescent="0.2">
      <c r="A400" s="1" t="s">
        <v>437</v>
      </c>
    </row>
    <row r="401" spans="1:7" x14ac:dyDescent="0.2">
      <c r="A401" s="1" t="s">
        <v>438</v>
      </c>
    </row>
    <row r="403" spans="1:7" x14ac:dyDescent="0.2">
      <c r="A403" s="2" t="s">
        <v>433</v>
      </c>
    </row>
    <row r="404" spans="1:7" x14ac:dyDescent="0.2">
      <c r="A404" s="1" t="s">
        <v>439</v>
      </c>
    </row>
    <row r="405" spans="1:7" x14ac:dyDescent="0.2">
      <c r="A405" s="1" t="s">
        <v>440</v>
      </c>
    </row>
    <row r="406" spans="1:7" x14ac:dyDescent="0.2">
      <c r="A406" s="1" t="s">
        <v>441</v>
      </c>
    </row>
    <row r="408" spans="1:7" x14ac:dyDescent="0.2">
      <c r="C408" s="1" t="s">
        <v>442</v>
      </c>
    </row>
    <row r="409" spans="1:7" x14ac:dyDescent="0.2">
      <c r="C409" s="1" t="s">
        <v>95</v>
      </c>
      <c r="E409" s="23">
        <v>20000</v>
      </c>
    </row>
    <row r="410" spans="1:7" ht="17" thickBot="1" x14ac:dyDescent="0.25">
      <c r="C410" s="1" t="s">
        <v>443</v>
      </c>
      <c r="E410" s="1">
        <f>-E409/10*7</f>
        <v>-14000</v>
      </c>
      <c r="G410" s="1" t="s">
        <v>444</v>
      </c>
    </row>
    <row r="411" spans="1:7" ht="17" thickBot="1" x14ac:dyDescent="0.25">
      <c r="C411" s="1" t="s">
        <v>445</v>
      </c>
      <c r="E411" s="68">
        <f>E409+E410</f>
        <v>6000</v>
      </c>
    </row>
    <row r="413" spans="1:7" x14ac:dyDescent="0.2">
      <c r="A413" s="1" t="s">
        <v>446</v>
      </c>
      <c r="C413" s="1" t="s">
        <v>447</v>
      </c>
      <c r="F413" s="23">
        <f>E409</f>
        <v>20000</v>
      </c>
    </row>
    <row r="414" spans="1:7" x14ac:dyDescent="0.2">
      <c r="A414" s="1" t="s">
        <v>448</v>
      </c>
      <c r="C414" s="1" t="s">
        <v>449</v>
      </c>
      <c r="F414" s="23">
        <f>-E410</f>
        <v>14000</v>
      </c>
    </row>
    <row r="415" spans="1:7" x14ac:dyDescent="0.2">
      <c r="A415" s="1" t="s">
        <v>450</v>
      </c>
      <c r="C415" s="1" t="s">
        <v>451</v>
      </c>
      <c r="F415" s="23">
        <f>E411</f>
        <v>6000</v>
      </c>
    </row>
    <row r="416" spans="1:7" x14ac:dyDescent="0.2">
      <c r="E416" s="23"/>
    </row>
    <row r="417" spans="1:8" x14ac:dyDescent="0.2">
      <c r="A417" s="2" t="s">
        <v>434</v>
      </c>
      <c r="E417" s="23"/>
    </row>
    <row r="418" spans="1:8" x14ac:dyDescent="0.2">
      <c r="E418" s="23"/>
    </row>
    <row r="419" spans="1:8" x14ac:dyDescent="0.2">
      <c r="A419" s="2" t="s">
        <v>452</v>
      </c>
      <c r="E419" s="23"/>
    </row>
    <row r="420" spans="1:8" x14ac:dyDescent="0.2">
      <c r="C420" s="1" t="s">
        <v>453</v>
      </c>
      <c r="E420" s="23">
        <v>18000</v>
      </c>
    </row>
    <row r="421" spans="1:8" x14ac:dyDescent="0.2">
      <c r="C421" s="1" t="s">
        <v>454</v>
      </c>
      <c r="E421" s="23">
        <f>E420</f>
        <v>18000</v>
      </c>
    </row>
    <row r="426" spans="1:8" x14ac:dyDescent="0.2">
      <c r="A426" s="58" t="s">
        <v>455</v>
      </c>
      <c r="B426" s="59"/>
      <c r="C426" s="59"/>
      <c r="D426" s="59"/>
      <c r="E426" s="59"/>
      <c r="F426" s="59"/>
      <c r="G426" s="59"/>
      <c r="H426" s="58" t="s">
        <v>456</v>
      </c>
    </row>
    <row r="427" spans="1:8" x14ac:dyDescent="0.2">
      <c r="H427" s="1" t="s">
        <v>457</v>
      </c>
    </row>
    <row r="428" spans="1:8" x14ac:dyDescent="0.2">
      <c r="H428" s="1" t="s">
        <v>458</v>
      </c>
    </row>
    <row r="429" spans="1:8" x14ac:dyDescent="0.2">
      <c r="H429" s="1" t="s">
        <v>459</v>
      </c>
    </row>
    <row r="430" spans="1:8" x14ac:dyDescent="0.2">
      <c r="H430" s="1" t="s">
        <v>460</v>
      </c>
    </row>
    <row r="431" spans="1:8" x14ac:dyDescent="0.2">
      <c r="H431" s="1" t="s">
        <v>461</v>
      </c>
    </row>
    <row r="432" spans="1:8" x14ac:dyDescent="0.2">
      <c r="H432" s="1" t="s">
        <v>462</v>
      </c>
    </row>
    <row r="433" spans="1:8" x14ac:dyDescent="0.2">
      <c r="H433" s="1" t="s">
        <v>463</v>
      </c>
    </row>
    <row r="434" spans="1:8" x14ac:dyDescent="0.2">
      <c r="H434" s="1" t="s">
        <v>464</v>
      </c>
    </row>
    <row r="435" spans="1:8" x14ac:dyDescent="0.2">
      <c r="H435" s="1" t="s">
        <v>465</v>
      </c>
    </row>
    <row r="436" spans="1:8" x14ac:dyDescent="0.2">
      <c r="H436" s="1" t="s">
        <v>466</v>
      </c>
    </row>
    <row r="437" spans="1:8" x14ac:dyDescent="0.2">
      <c r="H437" s="1" t="s">
        <v>467</v>
      </c>
    </row>
    <row r="438" spans="1:8" x14ac:dyDescent="0.2">
      <c r="H438" s="1" t="s">
        <v>468</v>
      </c>
    </row>
    <row r="439" spans="1:8" x14ac:dyDescent="0.2">
      <c r="H439" s="1" t="s">
        <v>469</v>
      </c>
    </row>
    <row r="440" spans="1:8" x14ac:dyDescent="0.2">
      <c r="H440" s="1" t="s">
        <v>470</v>
      </c>
    </row>
    <row r="441" spans="1:8" x14ac:dyDescent="0.2">
      <c r="H441" s="1" t="s">
        <v>471</v>
      </c>
    </row>
    <row r="442" spans="1:8" x14ac:dyDescent="0.2">
      <c r="H442" s="1" t="s">
        <v>472</v>
      </c>
    </row>
    <row r="443" spans="1:8" x14ac:dyDescent="0.2">
      <c r="H443" s="1" t="s">
        <v>473</v>
      </c>
    </row>
    <row r="444" spans="1:8" x14ac:dyDescent="0.2">
      <c r="H444" s="1" t="s">
        <v>474</v>
      </c>
    </row>
    <row r="445" spans="1:8" x14ac:dyDescent="0.2">
      <c r="H445" s="1" t="s">
        <v>475</v>
      </c>
    </row>
    <row r="447" spans="1:8" x14ac:dyDescent="0.2">
      <c r="A447" s="58" t="s">
        <v>383</v>
      </c>
      <c r="B447" s="58"/>
      <c r="C447" s="58"/>
      <c r="D447" s="58"/>
      <c r="E447" s="58"/>
      <c r="F447" s="58"/>
      <c r="G447" s="58"/>
      <c r="H447" s="58"/>
    </row>
    <row r="448" spans="1:8" x14ac:dyDescent="0.2">
      <c r="A448" s="1" t="s">
        <v>476</v>
      </c>
    </row>
    <row r="449" spans="1:8" x14ac:dyDescent="0.2">
      <c r="A449" s="1" t="s">
        <v>477</v>
      </c>
    </row>
    <row r="450" spans="1:8" x14ac:dyDescent="0.2">
      <c r="A450" s="1" t="s">
        <v>478</v>
      </c>
    </row>
    <row r="451" spans="1:8" x14ac:dyDescent="0.2">
      <c r="A451" s="1" t="s">
        <v>479</v>
      </c>
    </row>
    <row r="452" spans="1:8" x14ac:dyDescent="0.2">
      <c r="A452" s="1" t="s">
        <v>480</v>
      </c>
    </row>
    <row r="454" spans="1:8" x14ac:dyDescent="0.2">
      <c r="A454" s="3" t="s">
        <v>481</v>
      </c>
      <c r="B454" s="3" t="s">
        <v>482</v>
      </c>
      <c r="C454" s="3"/>
      <c r="D454" s="3"/>
      <c r="E454" s="3"/>
      <c r="F454" s="3"/>
      <c r="G454" s="3"/>
      <c r="H454" s="3"/>
    </row>
    <row r="455" spans="1:8" x14ac:dyDescent="0.2">
      <c r="A455" s="1" t="s">
        <v>483</v>
      </c>
    </row>
    <row r="457" spans="1:8" x14ac:dyDescent="0.2">
      <c r="A457" s="2" t="s">
        <v>412</v>
      </c>
    </row>
    <row r="458" spans="1:8" x14ac:dyDescent="0.2">
      <c r="A458" s="1" t="s">
        <v>484</v>
      </c>
    </row>
    <row r="459" spans="1:8" x14ac:dyDescent="0.2">
      <c r="A459" s="1" t="s">
        <v>485</v>
      </c>
    </row>
  </sheetData>
  <mergeCells count="2">
    <mergeCell ref="B217:D217"/>
    <mergeCell ref="F217:H21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F0FFD9-3AE9-2244-9393-781FB9F359E8}">
  <dimension ref="A1:I250"/>
  <sheetViews>
    <sheetView rightToLeft="1" topLeftCell="A245" zoomScale="206" workbookViewId="0">
      <selection activeCell="B253" sqref="B253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70" t="s">
        <v>486</v>
      </c>
      <c r="B1" s="70"/>
      <c r="C1" s="70"/>
      <c r="D1" s="70"/>
      <c r="E1" s="70"/>
      <c r="F1" s="70"/>
      <c r="G1" s="70"/>
      <c r="H1" s="70"/>
    </row>
    <row r="2" spans="1:8" x14ac:dyDescent="0.2">
      <c r="A2" s="70"/>
      <c r="B2" s="70"/>
      <c r="C2" s="70"/>
      <c r="D2" s="70"/>
      <c r="E2" s="70"/>
      <c r="F2" s="70"/>
      <c r="G2" s="70"/>
      <c r="H2" s="71">
        <v>45743</v>
      </c>
    </row>
    <row r="15" spans="1:8" x14ac:dyDescent="0.2">
      <c r="A15" s="1" t="s">
        <v>487</v>
      </c>
    </row>
    <row r="16" spans="1:8" x14ac:dyDescent="0.2">
      <c r="A16" s="1" t="s">
        <v>488</v>
      </c>
    </row>
    <row r="17" spans="1:8" x14ac:dyDescent="0.2">
      <c r="A17" s="1" t="s">
        <v>489</v>
      </c>
    </row>
    <row r="18" spans="1:8" x14ac:dyDescent="0.2">
      <c r="A18" s="1" t="s">
        <v>490</v>
      </c>
    </row>
    <row r="19" spans="1:8" x14ac:dyDescent="0.2">
      <c r="A19" s="1" t="s">
        <v>491</v>
      </c>
    </row>
    <row r="21" spans="1:8" x14ac:dyDescent="0.2">
      <c r="A21" s="72" t="s">
        <v>492</v>
      </c>
      <c r="B21" s="72"/>
      <c r="C21" s="72"/>
      <c r="D21" s="72"/>
      <c r="E21" s="72"/>
      <c r="F21" s="72"/>
      <c r="G21" s="72"/>
      <c r="H21" s="72"/>
    </row>
    <row r="22" spans="1:8" x14ac:dyDescent="0.2">
      <c r="A22" s="1" t="s">
        <v>493</v>
      </c>
    </row>
    <row r="23" spans="1:8" x14ac:dyDescent="0.2">
      <c r="A23" s="1" t="s">
        <v>494</v>
      </c>
    </row>
    <row r="24" spans="1:8" x14ac:dyDescent="0.2">
      <c r="A24" s="1" t="s">
        <v>495</v>
      </c>
    </row>
    <row r="25" spans="1:8" x14ac:dyDescent="0.2">
      <c r="A25" s="1" t="s">
        <v>496</v>
      </c>
    </row>
    <row r="27" spans="1:8" x14ac:dyDescent="0.2">
      <c r="B27" s="1" t="s">
        <v>497</v>
      </c>
      <c r="D27" s="1" t="s">
        <v>501</v>
      </c>
      <c r="E27" s="1" t="s">
        <v>502</v>
      </c>
    </row>
    <row r="28" spans="1:8" x14ac:dyDescent="0.2">
      <c r="B28" s="1" t="s">
        <v>498</v>
      </c>
      <c r="D28" s="23">
        <v>250000</v>
      </c>
      <c r="E28" s="1">
        <v>10</v>
      </c>
      <c r="F28" s="1" t="s">
        <v>505</v>
      </c>
    </row>
    <row r="29" spans="1:8" x14ac:dyDescent="0.2">
      <c r="B29" s="1" t="s">
        <v>499</v>
      </c>
      <c r="D29" s="23">
        <v>200000</v>
      </c>
      <c r="E29" s="1">
        <v>5</v>
      </c>
      <c r="F29" s="1" t="s">
        <v>505</v>
      </c>
    </row>
    <row r="30" spans="1:8" x14ac:dyDescent="0.2">
      <c r="B30" s="1" t="s">
        <v>500</v>
      </c>
      <c r="D30" s="23">
        <v>1550000</v>
      </c>
      <c r="E30" s="1">
        <v>20</v>
      </c>
      <c r="F30" s="1" t="s">
        <v>505</v>
      </c>
    </row>
    <row r="32" spans="1:8" x14ac:dyDescent="0.2">
      <c r="A32" s="1" t="s">
        <v>503</v>
      </c>
    </row>
    <row r="34" spans="1:4" x14ac:dyDescent="0.2">
      <c r="A34" s="1" t="s">
        <v>504</v>
      </c>
    </row>
    <row r="36" spans="1:4" x14ac:dyDescent="0.2">
      <c r="A36" s="1" t="s">
        <v>506</v>
      </c>
    </row>
    <row r="38" spans="1:4" x14ac:dyDescent="0.2">
      <c r="C38" s="49">
        <v>44196</v>
      </c>
      <c r="D38" s="49">
        <v>44561</v>
      </c>
    </row>
    <row r="39" spans="1:4" x14ac:dyDescent="0.2">
      <c r="B39" s="1" t="s">
        <v>95</v>
      </c>
      <c r="C39" s="73">
        <v>2000000</v>
      </c>
      <c r="D39" s="73">
        <v>2000000</v>
      </c>
    </row>
    <row r="40" spans="1:4" x14ac:dyDescent="0.2">
      <c r="B40" s="1" t="s">
        <v>96</v>
      </c>
      <c r="C40" s="73">
        <f>C43</f>
        <v>142500</v>
      </c>
      <c r="D40" s="73">
        <f>C40+D43</f>
        <v>285000</v>
      </c>
    </row>
    <row r="41" spans="1:4" x14ac:dyDescent="0.2">
      <c r="B41" s="1" t="s">
        <v>99</v>
      </c>
      <c r="C41" s="74">
        <f>C39-C40</f>
        <v>1857500</v>
      </c>
      <c r="D41" s="74">
        <f>D39-D40</f>
        <v>1715000</v>
      </c>
    </row>
    <row r="42" spans="1:4" x14ac:dyDescent="0.2">
      <c r="C42" s="73"/>
      <c r="D42" s="73"/>
    </row>
    <row r="43" spans="1:4" x14ac:dyDescent="0.2">
      <c r="B43" s="1" t="s">
        <v>100</v>
      </c>
      <c r="C43" s="73">
        <f>D28/E28+D29/E29+D30/E30</f>
        <v>142500</v>
      </c>
      <c r="D43" s="73">
        <f>C43</f>
        <v>142500</v>
      </c>
    </row>
    <row r="54" spans="1:8" x14ac:dyDescent="0.2">
      <c r="A54" s="1" t="s">
        <v>507</v>
      </c>
    </row>
    <row r="55" spans="1:8" x14ac:dyDescent="0.2">
      <c r="A55" s="1" t="s">
        <v>508</v>
      </c>
    </row>
    <row r="56" spans="1:8" x14ac:dyDescent="0.2">
      <c r="A56" s="1" t="s">
        <v>509</v>
      </c>
    </row>
    <row r="57" spans="1:8" x14ac:dyDescent="0.2">
      <c r="A57" s="1" t="s">
        <v>510</v>
      </c>
    </row>
    <row r="58" spans="1:8" x14ac:dyDescent="0.2">
      <c r="A58" s="1" t="s">
        <v>511</v>
      </c>
    </row>
    <row r="60" spans="1:8" x14ac:dyDescent="0.2">
      <c r="A60" s="75" t="s">
        <v>512</v>
      </c>
      <c r="B60" s="75"/>
      <c r="C60" s="75"/>
      <c r="D60" s="75"/>
      <c r="E60" s="75"/>
      <c r="F60" s="75"/>
      <c r="G60" s="75"/>
      <c r="H60" s="75"/>
    </row>
    <row r="62" spans="1:8" x14ac:dyDescent="0.2">
      <c r="A62" s="1" t="s">
        <v>513</v>
      </c>
    </row>
    <row r="63" spans="1:8" x14ac:dyDescent="0.2">
      <c r="A63" s="1" t="s">
        <v>514</v>
      </c>
    </row>
    <row r="64" spans="1:8" x14ac:dyDescent="0.2">
      <c r="A64" s="1" t="s">
        <v>515</v>
      </c>
    </row>
    <row r="65" spans="1:8" x14ac:dyDescent="0.2">
      <c r="A65" s="1" t="s">
        <v>516</v>
      </c>
    </row>
    <row r="66" spans="1:8" x14ac:dyDescent="0.2">
      <c r="A66" s="1" t="s">
        <v>520</v>
      </c>
    </row>
    <row r="67" spans="1:8" x14ac:dyDescent="0.2">
      <c r="A67" s="1" t="s">
        <v>517</v>
      </c>
    </row>
    <row r="69" spans="1:8" x14ac:dyDescent="0.2">
      <c r="A69" s="1" t="s">
        <v>518</v>
      </c>
    </row>
    <row r="70" spans="1:8" x14ac:dyDescent="0.2">
      <c r="A70" s="1" t="s">
        <v>519</v>
      </c>
    </row>
    <row r="71" spans="1:8" x14ac:dyDescent="0.2">
      <c r="E71" s="56">
        <v>44927</v>
      </c>
      <c r="F71" s="56">
        <v>44927</v>
      </c>
    </row>
    <row r="72" spans="1:8" x14ac:dyDescent="0.2">
      <c r="E72" s="19" t="s">
        <v>296</v>
      </c>
      <c r="F72" s="19" t="s">
        <v>296</v>
      </c>
    </row>
    <row r="73" spans="1:8" x14ac:dyDescent="0.2">
      <c r="E73" s="19" t="s">
        <v>533</v>
      </c>
      <c r="F73" s="19" t="s">
        <v>535</v>
      </c>
    </row>
    <row r="74" spans="1:8" x14ac:dyDescent="0.2">
      <c r="B74" s="36">
        <v>44196</v>
      </c>
      <c r="C74" s="36">
        <v>44561</v>
      </c>
      <c r="D74" s="36">
        <v>44926</v>
      </c>
      <c r="E74" s="40" t="s">
        <v>497</v>
      </c>
      <c r="F74" s="40" t="s">
        <v>536</v>
      </c>
      <c r="G74" s="36">
        <v>45291</v>
      </c>
      <c r="H74" s="36">
        <v>45657</v>
      </c>
    </row>
    <row r="75" spans="1:8" x14ac:dyDescent="0.2">
      <c r="A75" s="1" t="s">
        <v>95</v>
      </c>
      <c r="B75" s="38">
        <v>500000</v>
      </c>
      <c r="C75" s="38">
        <v>500000</v>
      </c>
      <c r="D75" s="38">
        <v>500000</v>
      </c>
      <c r="E75" s="38">
        <f>D75-150000</f>
        <v>350000</v>
      </c>
      <c r="F75" s="38">
        <f>E75+150000</f>
        <v>500000</v>
      </c>
      <c r="G75" s="38">
        <f>F75</f>
        <v>500000</v>
      </c>
      <c r="H75" s="38">
        <f>G75</f>
        <v>500000</v>
      </c>
    </row>
    <row r="76" spans="1:8" x14ac:dyDescent="0.2">
      <c r="A76" s="1" t="s">
        <v>96</v>
      </c>
      <c r="B76" s="38">
        <f>B79</f>
        <v>100000</v>
      </c>
      <c r="C76" s="38">
        <f>B76+C79</f>
        <v>200000</v>
      </c>
      <c r="D76" s="38">
        <f>C76+D79</f>
        <v>300000</v>
      </c>
      <c r="E76" s="38">
        <f>D76-90000</f>
        <v>210000</v>
      </c>
      <c r="F76" s="38">
        <f>E76</f>
        <v>210000</v>
      </c>
      <c r="G76" s="38">
        <f>F76+G79</f>
        <v>355000</v>
      </c>
      <c r="H76" s="38">
        <f>G76+H79</f>
        <v>500000</v>
      </c>
    </row>
    <row r="77" spans="1:8" x14ac:dyDescent="0.2">
      <c r="A77" s="1" t="s">
        <v>99</v>
      </c>
      <c r="B77" s="39">
        <f t="shared" ref="B77:H77" si="0">B75-B76</f>
        <v>400000</v>
      </c>
      <c r="C77" s="39">
        <f t="shared" si="0"/>
        <v>300000</v>
      </c>
      <c r="D77" s="39">
        <f t="shared" si="0"/>
        <v>200000</v>
      </c>
      <c r="E77" s="39">
        <f t="shared" si="0"/>
        <v>140000</v>
      </c>
      <c r="F77" s="39">
        <f t="shared" si="0"/>
        <v>290000</v>
      </c>
      <c r="G77" s="39">
        <f t="shared" si="0"/>
        <v>145000</v>
      </c>
      <c r="H77" s="39">
        <f t="shared" si="0"/>
        <v>0</v>
      </c>
    </row>
    <row r="78" spans="1:8" x14ac:dyDescent="0.2">
      <c r="B78" s="38"/>
      <c r="C78" s="38"/>
      <c r="D78" s="38"/>
      <c r="E78" s="19"/>
      <c r="F78" s="19"/>
      <c r="G78" s="19"/>
      <c r="H78" s="19"/>
    </row>
    <row r="79" spans="1:8" x14ac:dyDescent="0.2">
      <c r="A79" s="1" t="s">
        <v>100</v>
      </c>
      <c r="B79" s="38">
        <f>B75/5</f>
        <v>100000</v>
      </c>
      <c r="C79" s="38">
        <f>C75/5</f>
        <v>100000</v>
      </c>
      <c r="D79" s="38">
        <f>D75/5</f>
        <v>100000</v>
      </c>
      <c r="E79" s="19"/>
      <c r="F79" s="19"/>
      <c r="G79" s="19">
        <f>F77/2</f>
        <v>145000</v>
      </c>
      <c r="H79" s="19">
        <f>G79</f>
        <v>145000</v>
      </c>
    </row>
    <row r="80" spans="1:8" x14ac:dyDescent="0.2">
      <c r="B80" s="38"/>
      <c r="C80" s="38"/>
      <c r="D80" s="38"/>
      <c r="E80" s="19"/>
      <c r="F80" s="19"/>
      <c r="G80" s="19"/>
      <c r="H80" s="19"/>
    </row>
    <row r="81" spans="1:8" x14ac:dyDescent="0.2">
      <c r="A81" s="1" t="s">
        <v>534</v>
      </c>
      <c r="B81" s="38"/>
      <c r="C81" s="38"/>
      <c r="D81" s="38"/>
      <c r="E81" s="212">
        <f>F95</f>
        <v>60000</v>
      </c>
      <c r="F81" s="212"/>
      <c r="G81" s="38">
        <f>E81</f>
        <v>60000</v>
      </c>
      <c r="H81" s="19"/>
    </row>
    <row r="83" spans="1:8" x14ac:dyDescent="0.2">
      <c r="A83" s="1" t="s">
        <v>521</v>
      </c>
    </row>
    <row r="84" spans="1:8" x14ac:dyDescent="0.2">
      <c r="B84" s="1" t="s">
        <v>522</v>
      </c>
    </row>
    <row r="85" spans="1:8" x14ac:dyDescent="0.2">
      <c r="B85" s="1" t="s">
        <v>523</v>
      </c>
    </row>
    <row r="87" spans="1:8" x14ac:dyDescent="0.2">
      <c r="A87" s="1" t="s">
        <v>524</v>
      </c>
    </row>
    <row r="88" spans="1:8" x14ac:dyDescent="0.2">
      <c r="B88" s="1" t="s">
        <v>525</v>
      </c>
    </row>
    <row r="89" spans="1:8" x14ac:dyDescent="0.2">
      <c r="B89" s="1" t="s">
        <v>526</v>
      </c>
    </row>
    <row r="90" spans="1:8" x14ac:dyDescent="0.2">
      <c r="B90" s="1" t="s">
        <v>527</v>
      </c>
    </row>
    <row r="91" spans="1:8" x14ac:dyDescent="0.2">
      <c r="B91" s="1" t="s">
        <v>528</v>
      </c>
    </row>
    <row r="93" spans="1:8" x14ac:dyDescent="0.2">
      <c r="C93" s="1" t="s">
        <v>529</v>
      </c>
      <c r="F93" s="23">
        <v>150000</v>
      </c>
    </row>
    <row r="94" spans="1:8" x14ac:dyDescent="0.2">
      <c r="C94" s="1" t="s">
        <v>530</v>
      </c>
      <c r="F94" s="23">
        <v>90000</v>
      </c>
      <c r="H94" s="1" t="s">
        <v>531</v>
      </c>
    </row>
    <row r="95" spans="1:8" x14ac:dyDescent="0.2">
      <c r="C95" s="1" t="s">
        <v>532</v>
      </c>
      <c r="F95" s="23">
        <f>F93-F94</f>
        <v>60000</v>
      </c>
    </row>
    <row r="97" spans="1:8" x14ac:dyDescent="0.2">
      <c r="A97" s="75" t="s">
        <v>537</v>
      </c>
      <c r="B97" s="75"/>
      <c r="C97" s="75"/>
      <c r="D97" s="75"/>
      <c r="E97" s="75"/>
      <c r="F97" s="75"/>
      <c r="G97" s="75"/>
      <c r="H97" s="75"/>
    </row>
    <row r="99" spans="1:8" x14ac:dyDescent="0.2">
      <c r="A99" s="1" t="s">
        <v>538</v>
      </c>
    </row>
    <row r="100" spans="1:8" x14ac:dyDescent="0.2">
      <c r="A100" s="1" t="s">
        <v>539</v>
      </c>
    </row>
    <row r="101" spans="1:8" x14ac:dyDescent="0.2">
      <c r="A101" s="1" t="s">
        <v>540</v>
      </c>
    </row>
    <row r="102" spans="1:8" x14ac:dyDescent="0.2">
      <c r="A102" s="1" t="s">
        <v>541</v>
      </c>
    </row>
    <row r="103" spans="1:8" x14ac:dyDescent="0.2">
      <c r="A103" s="1" t="s">
        <v>542</v>
      </c>
    </row>
    <row r="104" spans="1:8" x14ac:dyDescent="0.2">
      <c r="A104" s="1" t="s">
        <v>543</v>
      </c>
    </row>
    <row r="105" spans="1:8" x14ac:dyDescent="0.2">
      <c r="A105" s="1" t="s">
        <v>544</v>
      </c>
    </row>
    <row r="106" spans="1:8" x14ac:dyDescent="0.2">
      <c r="A106" s="1" t="s">
        <v>545</v>
      </c>
    </row>
    <row r="108" spans="1:8" x14ac:dyDescent="0.2">
      <c r="A108" s="1" t="s">
        <v>546</v>
      </c>
    </row>
    <row r="110" spans="1:8" x14ac:dyDescent="0.2">
      <c r="C110" s="19"/>
      <c r="D110" s="19" t="s">
        <v>549</v>
      </c>
      <c r="E110" s="19" t="s">
        <v>550</v>
      </c>
      <c r="F110" s="19"/>
    </row>
    <row r="111" spans="1:8" x14ac:dyDescent="0.2">
      <c r="C111" s="36">
        <v>44196</v>
      </c>
      <c r="D111" s="36">
        <v>44378</v>
      </c>
      <c r="E111" s="36">
        <v>44378</v>
      </c>
      <c r="F111" s="36">
        <v>44561</v>
      </c>
      <c r="G111" s="36">
        <v>44926</v>
      </c>
    </row>
    <row r="112" spans="1:8" x14ac:dyDescent="0.2">
      <c r="B112" s="1" t="s">
        <v>95</v>
      </c>
      <c r="C112" s="21">
        <v>7200</v>
      </c>
      <c r="D112" s="21">
        <f>C112</f>
        <v>7200</v>
      </c>
      <c r="E112" s="21">
        <f>D112-G127+1000</f>
        <v>7200</v>
      </c>
      <c r="F112" s="21">
        <f>E112</f>
        <v>7200</v>
      </c>
      <c r="G112" s="21">
        <f>F112</f>
        <v>7200</v>
      </c>
    </row>
    <row r="113" spans="2:9" x14ac:dyDescent="0.2">
      <c r="B113" s="1" t="s">
        <v>96</v>
      </c>
      <c r="C113" s="21">
        <f>-C118</f>
        <v>-2400</v>
      </c>
      <c r="D113" s="21">
        <f>C113-D118</f>
        <v>-3600</v>
      </c>
      <c r="E113" s="21">
        <f>D113+G128</f>
        <v>-3100</v>
      </c>
      <c r="F113" s="21">
        <f>E113-E114/1.5*0.5</f>
        <v>-4466.666666666667</v>
      </c>
      <c r="G113" s="21">
        <f>F113-G118</f>
        <v>-7200</v>
      </c>
    </row>
    <row r="114" spans="2:9" x14ac:dyDescent="0.2">
      <c r="B114" s="1" t="s">
        <v>99</v>
      </c>
      <c r="C114" s="76">
        <f>C112+C113</f>
        <v>4800</v>
      </c>
      <c r="D114" s="76">
        <f>D112+D113</f>
        <v>3600</v>
      </c>
      <c r="E114" s="76">
        <f>E112+E113</f>
        <v>4100</v>
      </c>
      <c r="F114" s="76">
        <f>F112+F113</f>
        <v>2733.333333333333</v>
      </c>
      <c r="G114" s="76">
        <f>G112+G113</f>
        <v>0</v>
      </c>
    </row>
    <row r="115" spans="2:9" x14ac:dyDescent="0.2">
      <c r="C115" s="21"/>
      <c r="D115" s="21"/>
      <c r="E115" s="21"/>
      <c r="F115" s="21"/>
      <c r="G115" s="21"/>
    </row>
    <row r="116" spans="2:9" x14ac:dyDescent="0.2">
      <c r="B116" s="1" t="s">
        <v>547</v>
      </c>
      <c r="C116" s="21">
        <v>8000</v>
      </c>
      <c r="D116" s="21">
        <v>0</v>
      </c>
      <c r="E116" s="21">
        <v>0</v>
      </c>
      <c r="F116" s="21">
        <v>0</v>
      </c>
      <c r="G116" s="21"/>
    </row>
    <row r="117" spans="2:9" x14ac:dyDescent="0.2">
      <c r="C117" s="21"/>
      <c r="D117" s="21"/>
      <c r="E117" s="21"/>
      <c r="F117" s="21"/>
      <c r="G117" s="21"/>
    </row>
    <row r="118" spans="2:9" x14ac:dyDescent="0.2">
      <c r="B118" s="1" t="s">
        <v>100</v>
      </c>
      <c r="C118" s="21">
        <f>C112/3</f>
        <v>2400</v>
      </c>
      <c r="D118" s="213">
        <f>C118/2</f>
        <v>1200</v>
      </c>
      <c r="E118" s="213"/>
      <c r="F118" s="21">
        <f>D118+E114/1.5*(6/12)</f>
        <v>2566.666666666667</v>
      </c>
      <c r="G118" s="21">
        <f>E114/1.5</f>
        <v>2733.3333333333335</v>
      </c>
    </row>
    <row r="119" spans="2:9" x14ac:dyDescent="0.2">
      <c r="B119" s="1" t="s">
        <v>548</v>
      </c>
      <c r="C119" s="21">
        <v>800</v>
      </c>
      <c r="D119" s="21"/>
      <c r="E119" s="21"/>
      <c r="F119" s="21"/>
      <c r="G119" s="21"/>
    </row>
    <row r="120" spans="2:9" x14ac:dyDescent="0.2">
      <c r="C120" s="21"/>
      <c r="D120" s="21"/>
      <c r="E120" s="21"/>
      <c r="F120" s="21"/>
      <c r="G120" s="21"/>
    </row>
    <row r="121" spans="2:9" x14ac:dyDescent="0.2">
      <c r="B121" s="1" t="s">
        <v>551</v>
      </c>
      <c r="C121" s="21"/>
      <c r="D121" s="21"/>
      <c r="E121" s="21">
        <f>G129</f>
        <v>500</v>
      </c>
      <c r="F121" s="21">
        <f>E121</f>
        <v>500</v>
      </c>
      <c r="G121" s="21"/>
    </row>
    <row r="123" spans="2:9" x14ac:dyDescent="0.2">
      <c r="B123" s="1" t="s">
        <v>552</v>
      </c>
    </row>
    <row r="124" spans="2:9" x14ac:dyDescent="0.2">
      <c r="B124" s="1" t="s">
        <v>553</v>
      </c>
    </row>
    <row r="125" spans="2:9" x14ac:dyDescent="0.2">
      <c r="B125" s="1" t="s">
        <v>554</v>
      </c>
    </row>
    <row r="127" spans="2:9" x14ac:dyDescent="0.2">
      <c r="B127" s="1" t="s">
        <v>555</v>
      </c>
      <c r="G127" s="23">
        <v>1000</v>
      </c>
    </row>
    <row r="128" spans="2:9" x14ac:dyDescent="0.2">
      <c r="B128" s="1" t="s">
        <v>556</v>
      </c>
      <c r="G128" s="1">
        <v>500</v>
      </c>
      <c r="I128" s="1" t="s">
        <v>557</v>
      </c>
    </row>
    <row r="129" spans="2:9" x14ac:dyDescent="0.2">
      <c r="B129" s="1" t="s">
        <v>558</v>
      </c>
      <c r="G129" s="23">
        <f>G127-G128</f>
        <v>500</v>
      </c>
      <c r="I129" s="1" t="s">
        <v>559</v>
      </c>
    </row>
    <row r="131" spans="2:9" x14ac:dyDescent="0.2">
      <c r="B131" s="1" t="s">
        <v>560</v>
      </c>
    </row>
    <row r="132" spans="2:9" x14ac:dyDescent="0.2">
      <c r="B132" s="1" t="s">
        <v>561</v>
      </c>
    </row>
    <row r="134" spans="2:9" x14ac:dyDescent="0.2">
      <c r="F134" s="40" t="s">
        <v>501</v>
      </c>
    </row>
    <row r="135" spans="2:9" x14ac:dyDescent="0.2">
      <c r="B135" s="35">
        <v>43831</v>
      </c>
      <c r="C135" s="1" t="s">
        <v>562</v>
      </c>
      <c r="F135" s="21">
        <v>0</v>
      </c>
    </row>
    <row r="136" spans="2:9" x14ac:dyDescent="0.2">
      <c r="B136" s="35">
        <v>44196</v>
      </c>
      <c r="C136" s="1" t="s">
        <v>100</v>
      </c>
      <c r="F136" s="21">
        <v>2400</v>
      </c>
      <c r="H136" s="1" t="s">
        <v>568</v>
      </c>
    </row>
    <row r="137" spans="2:9" x14ac:dyDescent="0.2">
      <c r="B137" s="35">
        <v>44196</v>
      </c>
      <c r="C137" s="1" t="s">
        <v>563</v>
      </c>
      <c r="F137" s="78">
        <f>F135+F136</f>
        <v>2400</v>
      </c>
    </row>
    <row r="138" spans="2:9" x14ac:dyDescent="0.2">
      <c r="B138" s="35">
        <v>44378</v>
      </c>
      <c r="C138" s="1" t="s">
        <v>564</v>
      </c>
      <c r="F138" s="21">
        <v>1200</v>
      </c>
      <c r="H138" s="1" t="s">
        <v>569</v>
      </c>
    </row>
    <row r="139" spans="2:9" x14ac:dyDescent="0.2">
      <c r="B139" s="35">
        <v>44378</v>
      </c>
      <c r="C139" s="1" t="s">
        <v>566</v>
      </c>
      <c r="F139" s="21">
        <v>-500</v>
      </c>
      <c r="H139" s="1" t="s">
        <v>557</v>
      </c>
    </row>
    <row r="140" spans="2:9" x14ac:dyDescent="0.2">
      <c r="B140" s="35">
        <v>44561</v>
      </c>
      <c r="C140" s="1" t="s">
        <v>565</v>
      </c>
      <c r="F140" s="21">
        <f>4100/1.5*(6/12)</f>
        <v>1366.6666666666667</v>
      </c>
      <c r="H140" s="1" t="s">
        <v>570</v>
      </c>
    </row>
    <row r="141" spans="2:9" x14ac:dyDescent="0.2">
      <c r="B141" s="35">
        <v>44561</v>
      </c>
      <c r="C141" s="1" t="s">
        <v>563</v>
      </c>
      <c r="F141" s="78">
        <f>SUM(F137:F140)</f>
        <v>4466.666666666667</v>
      </c>
    </row>
    <row r="142" spans="2:9" x14ac:dyDescent="0.2">
      <c r="B142" s="35">
        <v>44926</v>
      </c>
      <c r="C142" s="1" t="s">
        <v>567</v>
      </c>
      <c r="F142" s="21">
        <f>4100/1.5</f>
        <v>2733.3333333333335</v>
      </c>
      <c r="H142" s="1" t="s">
        <v>571</v>
      </c>
    </row>
    <row r="143" spans="2:9" x14ac:dyDescent="0.2">
      <c r="B143" s="35">
        <v>44926</v>
      </c>
      <c r="C143" s="1" t="s">
        <v>563</v>
      </c>
      <c r="F143" s="78">
        <f>F141+F142</f>
        <v>7200</v>
      </c>
    </row>
    <row r="144" spans="2:9" ht="17" thickBot="1" x14ac:dyDescent="0.25"/>
    <row r="145" spans="1:8" ht="17" thickBot="1" x14ac:dyDescent="0.25">
      <c r="A145" s="214" t="s">
        <v>603</v>
      </c>
      <c r="B145" s="215"/>
      <c r="C145" s="215"/>
      <c r="D145" s="215"/>
      <c r="E145" s="215"/>
      <c r="F145" s="215"/>
      <c r="G145" s="215"/>
      <c r="H145" s="216"/>
    </row>
    <row r="146" spans="1:8" ht="17" thickBot="1" x14ac:dyDescent="0.25"/>
    <row r="147" spans="1:8" x14ac:dyDescent="0.2">
      <c r="B147" s="13" t="s">
        <v>572</v>
      </c>
      <c r="C147" s="5"/>
      <c r="D147" s="5"/>
      <c r="E147" s="5"/>
      <c r="F147" s="5"/>
      <c r="G147" s="6"/>
    </row>
    <row r="148" spans="1:8" x14ac:dyDescent="0.2">
      <c r="B148" s="7" t="s">
        <v>573</v>
      </c>
      <c r="G148" s="9"/>
    </row>
    <row r="149" spans="1:8" ht="17" thickBot="1" x14ac:dyDescent="0.25">
      <c r="B149" s="10" t="s">
        <v>574</v>
      </c>
      <c r="C149" s="11"/>
      <c r="D149" s="11"/>
      <c r="E149" s="11"/>
      <c r="F149" s="11"/>
      <c r="G149" s="12"/>
    </row>
    <row r="150" spans="1:8" x14ac:dyDescent="0.2">
      <c r="B150" s="79" t="s">
        <v>575</v>
      </c>
      <c r="F150" s="80" t="s">
        <v>575</v>
      </c>
    </row>
    <row r="151" spans="1:8" x14ac:dyDescent="0.2">
      <c r="B151" s="81" t="s">
        <v>576</v>
      </c>
      <c r="F151" s="82" t="s">
        <v>577</v>
      </c>
    </row>
    <row r="152" spans="1:8" x14ac:dyDescent="0.2">
      <c r="B152" s="81" t="s">
        <v>578</v>
      </c>
      <c r="F152" s="82" t="s">
        <v>578</v>
      </c>
    </row>
    <row r="153" spans="1:8" x14ac:dyDescent="0.2">
      <c r="B153" s="81" t="s">
        <v>579</v>
      </c>
      <c r="F153" s="82" t="s">
        <v>580</v>
      </c>
    </row>
    <row r="154" spans="1:8" ht="17" thickBot="1" x14ac:dyDescent="0.25">
      <c r="B154" s="83" t="s">
        <v>581</v>
      </c>
      <c r="F154" s="84" t="s">
        <v>581</v>
      </c>
    </row>
    <row r="155" spans="1:8" ht="17" thickBot="1" x14ac:dyDescent="0.25">
      <c r="B155" s="79" t="s">
        <v>582</v>
      </c>
      <c r="E155" s="80" t="s">
        <v>583</v>
      </c>
    </row>
    <row r="156" spans="1:8" ht="17" thickBot="1" x14ac:dyDescent="0.25">
      <c r="B156" s="81" t="s">
        <v>584</v>
      </c>
      <c r="C156" s="85" t="s">
        <v>585</v>
      </c>
      <c r="E156" s="82" t="s">
        <v>586</v>
      </c>
    </row>
    <row r="157" spans="1:8" x14ac:dyDescent="0.2">
      <c r="B157" s="81" t="s">
        <v>587</v>
      </c>
      <c r="C157" s="86" t="s">
        <v>588</v>
      </c>
      <c r="E157" s="82" t="s">
        <v>589</v>
      </c>
      <c r="F157" s="87" t="s">
        <v>590</v>
      </c>
      <c r="G157" s="88"/>
    </row>
    <row r="158" spans="1:8" x14ac:dyDescent="0.2">
      <c r="B158" s="81" t="s">
        <v>591</v>
      </c>
      <c r="C158" s="86" t="s">
        <v>592</v>
      </c>
      <c r="E158" s="82" t="s">
        <v>593</v>
      </c>
      <c r="F158" s="89" t="s">
        <v>594</v>
      </c>
      <c r="G158" s="90"/>
    </row>
    <row r="159" spans="1:8" x14ac:dyDescent="0.2">
      <c r="B159" s="81" t="s">
        <v>595</v>
      </c>
      <c r="C159" s="86" t="s">
        <v>596</v>
      </c>
      <c r="E159" s="82" t="s">
        <v>597</v>
      </c>
      <c r="F159" s="89" t="s">
        <v>598</v>
      </c>
      <c r="G159" s="90"/>
    </row>
    <row r="160" spans="1:8" ht="17" thickBot="1" x14ac:dyDescent="0.25">
      <c r="B160" s="81" t="s">
        <v>586</v>
      </c>
      <c r="C160" s="91" t="s">
        <v>599</v>
      </c>
      <c r="E160" s="82" t="s">
        <v>600</v>
      </c>
      <c r="F160" s="92" t="s">
        <v>601</v>
      </c>
      <c r="G160" s="93"/>
    </row>
    <row r="161" spans="1:8" ht="17" thickBot="1" x14ac:dyDescent="0.25">
      <c r="B161" s="83" t="s">
        <v>602</v>
      </c>
      <c r="E161" s="84" t="s">
        <v>584</v>
      </c>
    </row>
    <row r="163" spans="1:8" x14ac:dyDescent="0.2">
      <c r="A163" s="75" t="s">
        <v>604</v>
      </c>
      <c r="B163" s="75"/>
      <c r="C163" s="75"/>
      <c r="D163" s="75"/>
      <c r="E163" s="75"/>
      <c r="F163" s="75"/>
      <c r="G163" s="75"/>
      <c r="H163" s="75"/>
    </row>
    <row r="164" spans="1:8" x14ac:dyDescent="0.2">
      <c r="A164" s="1" t="s">
        <v>605</v>
      </c>
    </row>
    <row r="165" spans="1:8" x14ac:dyDescent="0.2">
      <c r="A165" s="1" t="s">
        <v>606</v>
      </c>
    </row>
    <row r="166" spans="1:8" x14ac:dyDescent="0.2">
      <c r="A166" s="1" t="s">
        <v>612</v>
      </c>
    </row>
    <row r="167" spans="1:8" x14ac:dyDescent="0.2">
      <c r="A167" s="1" t="s">
        <v>607</v>
      </c>
    </row>
    <row r="168" spans="1:8" x14ac:dyDescent="0.2">
      <c r="A168" s="1" t="s">
        <v>608</v>
      </c>
    </row>
    <row r="169" spans="1:8" x14ac:dyDescent="0.2">
      <c r="A169" s="1" t="s">
        <v>609</v>
      </c>
    </row>
    <row r="170" spans="1:8" x14ac:dyDescent="0.2">
      <c r="A170" s="1" t="s">
        <v>610</v>
      </c>
    </row>
    <row r="172" spans="1:8" x14ac:dyDescent="0.2">
      <c r="A172" s="1" t="s">
        <v>60</v>
      </c>
    </row>
    <row r="173" spans="1:8" x14ac:dyDescent="0.2">
      <c r="A173" s="2" t="s">
        <v>611</v>
      </c>
    </row>
    <row r="175" spans="1:8" x14ac:dyDescent="0.2">
      <c r="A175" s="1" t="s">
        <v>613</v>
      </c>
    </row>
    <row r="176" spans="1:8" x14ac:dyDescent="0.2">
      <c r="A176" s="1" t="s">
        <v>614</v>
      </c>
    </row>
    <row r="177" spans="1:8" x14ac:dyDescent="0.2">
      <c r="A177" s="1" t="s">
        <v>615</v>
      </c>
    </row>
    <row r="179" spans="1:8" x14ac:dyDescent="0.2">
      <c r="A179" s="2" t="s">
        <v>616</v>
      </c>
    </row>
    <row r="181" spans="1:8" x14ac:dyDescent="0.2">
      <c r="A181" s="1" t="s">
        <v>617</v>
      </c>
    </row>
    <row r="182" spans="1:8" x14ac:dyDescent="0.2">
      <c r="A182" s="1" t="s">
        <v>618</v>
      </c>
    </row>
    <row r="184" spans="1:8" x14ac:dyDescent="0.2">
      <c r="B184" s="94" t="s">
        <v>619</v>
      </c>
      <c r="C184" s="94"/>
      <c r="D184" s="94"/>
      <c r="F184" s="94" t="s">
        <v>622</v>
      </c>
      <c r="G184" s="94"/>
      <c r="H184" s="94"/>
    </row>
    <row r="185" spans="1:8" x14ac:dyDescent="0.2">
      <c r="B185" s="1" t="s">
        <v>620</v>
      </c>
      <c r="D185" s="23">
        <v>78000</v>
      </c>
      <c r="H185" s="95">
        <v>211000</v>
      </c>
    </row>
    <row r="186" spans="1:8" x14ac:dyDescent="0.2">
      <c r="B186" s="1" t="s">
        <v>621</v>
      </c>
      <c r="D186" s="23">
        <v>90000</v>
      </c>
    </row>
    <row r="187" spans="1:8" x14ac:dyDescent="0.2">
      <c r="B187" s="1" t="s">
        <v>254</v>
      </c>
      <c r="D187" s="51">
        <f>D185+D186</f>
        <v>168000</v>
      </c>
    </row>
    <row r="192" spans="1:8" x14ac:dyDescent="0.2">
      <c r="D192" s="1" t="s">
        <v>623</v>
      </c>
    </row>
    <row r="193" spans="1:8" x14ac:dyDescent="0.2">
      <c r="D193" s="1" t="s">
        <v>624</v>
      </c>
    </row>
    <row r="194" spans="1:8" x14ac:dyDescent="0.2">
      <c r="D194" s="1" t="s">
        <v>625</v>
      </c>
    </row>
    <row r="195" spans="1:8" x14ac:dyDescent="0.2">
      <c r="D195" s="1" t="s">
        <v>626</v>
      </c>
    </row>
    <row r="196" spans="1:8" x14ac:dyDescent="0.2">
      <c r="D196" s="1" t="s">
        <v>627</v>
      </c>
      <c r="H196" s="77">
        <v>211000</v>
      </c>
    </row>
    <row r="198" spans="1:8" x14ac:dyDescent="0.2">
      <c r="A198" s="2" t="s">
        <v>628</v>
      </c>
    </row>
    <row r="200" spans="1:8" x14ac:dyDescent="0.2">
      <c r="A200" s="1" t="s">
        <v>629</v>
      </c>
    </row>
    <row r="202" spans="1:8" x14ac:dyDescent="0.2">
      <c r="A202" s="1" t="s">
        <v>631</v>
      </c>
    </row>
    <row r="203" spans="1:8" x14ac:dyDescent="0.2">
      <c r="B203" s="1" t="s">
        <v>630</v>
      </c>
      <c r="E203" s="23">
        <f>D185</f>
        <v>78000</v>
      </c>
    </row>
    <row r="204" spans="1:8" x14ac:dyDescent="0.2">
      <c r="B204" s="1" t="s">
        <v>632</v>
      </c>
      <c r="E204" s="23">
        <v>100000</v>
      </c>
    </row>
    <row r="205" spans="1:8" x14ac:dyDescent="0.2">
      <c r="B205" s="1" t="s">
        <v>633</v>
      </c>
      <c r="E205" s="23">
        <f>E203+E204</f>
        <v>178000</v>
      </c>
    </row>
    <row r="207" spans="1:8" x14ac:dyDescent="0.2">
      <c r="B207" s="1" t="s">
        <v>634</v>
      </c>
      <c r="F207" s="23">
        <f>H196</f>
        <v>211000</v>
      </c>
    </row>
    <row r="208" spans="1:8" x14ac:dyDescent="0.2">
      <c r="B208" s="1" t="s">
        <v>635</v>
      </c>
      <c r="F208" s="23">
        <f>E205</f>
        <v>178000</v>
      </c>
    </row>
    <row r="209" spans="1:8" x14ac:dyDescent="0.2">
      <c r="B209" s="1" t="s">
        <v>636</v>
      </c>
      <c r="F209" s="77">
        <f>F207-F208</f>
        <v>33000</v>
      </c>
    </row>
    <row r="212" spans="1:8" ht="36" x14ac:dyDescent="0.4">
      <c r="A212" s="96" t="s">
        <v>637</v>
      </c>
      <c r="B212" s="96"/>
      <c r="C212" s="96"/>
      <c r="D212" s="96"/>
      <c r="E212" s="96"/>
      <c r="F212" s="96"/>
      <c r="G212" s="96"/>
      <c r="H212" s="96"/>
    </row>
    <row r="213" spans="1:8" x14ac:dyDescent="0.2">
      <c r="D213" s="1" t="s">
        <v>638</v>
      </c>
    </row>
    <row r="214" spans="1:8" x14ac:dyDescent="0.2">
      <c r="D214" s="1" t="s">
        <v>639</v>
      </c>
    </row>
    <row r="215" spans="1:8" x14ac:dyDescent="0.2">
      <c r="D215" s="1" t="s">
        <v>640</v>
      </c>
    </row>
    <row r="216" spans="1:8" x14ac:dyDescent="0.2">
      <c r="D216" s="1" t="s">
        <v>641</v>
      </c>
    </row>
    <row r="217" spans="1:8" x14ac:dyDescent="0.2">
      <c r="D217" s="1" t="s">
        <v>642</v>
      </c>
    </row>
    <row r="218" spans="1:8" x14ac:dyDescent="0.2">
      <c r="D218" s="1" t="s">
        <v>643</v>
      </c>
    </row>
    <row r="219" spans="1:8" x14ac:dyDescent="0.2">
      <c r="D219" s="1" t="s">
        <v>644</v>
      </c>
    </row>
    <row r="221" spans="1:8" x14ac:dyDescent="0.2">
      <c r="D221" s="1" t="s">
        <v>645</v>
      </c>
    </row>
    <row r="222" spans="1:8" x14ac:dyDescent="0.2">
      <c r="D222" s="1" t="s">
        <v>646</v>
      </c>
    </row>
    <row r="223" spans="1:8" x14ac:dyDescent="0.2">
      <c r="D223" s="1" t="s">
        <v>647</v>
      </c>
    </row>
    <row r="225" spans="1:4" x14ac:dyDescent="0.2">
      <c r="D225" s="1" t="s">
        <v>648</v>
      </c>
    </row>
    <row r="226" spans="1:4" x14ac:dyDescent="0.2">
      <c r="D226" s="1" t="s">
        <v>649</v>
      </c>
    </row>
    <row r="227" spans="1:4" x14ac:dyDescent="0.2">
      <c r="D227" s="1" t="s">
        <v>650</v>
      </c>
    </row>
    <row r="229" spans="1:4" x14ac:dyDescent="0.2">
      <c r="A229" s="1" t="s">
        <v>651</v>
      </c>
    </row>
    <row r="230" spans="1:4" x14ac:dyDescent="0.2">
      <c r="A230" s="1" t="s">
        <v>652</v>
      </c>
    </row>
    <row r="231" spans="1:4" x14ac:dyDescent="0.2">
      <c r="A231" s="1" t="s">
        <v>653</v>
      </c>
    </row>
    <row r="232" spans="1:4" x14ac:dyDescent="0.2">
      <c r="A232" s="1" t="s">
        <v>654</v>
      </c>
    </row>
    <row r="233" spans="1:4" x14ac:dyDescent="0.2">
      <c r="A233" s="1" t="s">
        <v>655</v>
      </c>
    </row>
    <row r="234" spans="1:4" x14ac:dyDescent="0.2">
      <c r="B234" s="94" t="s">
        <v>656</v>
      </c>
      <c r="C234" s="94" t="s">
        <v>501</v>
      </c>
    </row>
    <row r="235" spans="1:4" x14ac:dyDescent="0.2">
      <c r="B235" s="35">
        <v>44196</v>
      </c>
      <c r="C235" s="23">
        <v>550000</v>
      </c>
    </row>
    <row r="236" spans="1:4" x14ac:dyDescent="0.2">
      <c r="B236" s="35">
        <v>44561</v>
      </c>
      <c r="C236" s="23">
        <v>570000</v>
      </c>
    </row>
    <row r="237" spans="1:4" x14ac:dyDescent="0.2">
      <c r="B237" s="35">
        <v>44926</v>
      </c>
      <c r="C237" s="23">
        <v>590000</v>
      </c>
    </row>
    <row r="239" spans="1:4" x14ac:dyDescent="0.2">
      <c r="A239" s="1" t="s">
        <v>657</v>
      </c>
    </row>
    <row r="241" spans="1:8" x14ac:dyDescent="0.2">
      <c r="C241" s="19" t="s">
        <v>658</v>
      </c>
      <c r="D241" s="19" t="s">
        <v>659</v>
      </c>
      <c r="E241" s="19" t="s">
        <v>658</v>
      </c>
      <c r="F241" s="19" t="s">
        <v>660</v>
      </c>
      <c r="G241" s="19" t="s">
        <v>658</v>
      </c>
      <c r="H241" s="19" t="s">
        <v>659</v>
      </c>
    </row>
    <row r="242" spans="1:8" x14ac:dyDescent="0.2">
      <c r="C242" s="36">
        <v>44196</v>
      </c>
      <c r="D242" s="36">
        <v>44196</v>
      </c>
      <c r="E242" s="36">
        <v>44561</v>
      </c>
      <c r="F242" s="36">
        <v>44561</v>
      </c>
      <c r="G242" s="36">
        <v>44926</v>
      </c>
      <c r="H242" s="36">
        <v>44926</v>
      </c>
    </row>
    <row r="243" spans="1:8" x14ac:dyDescent="0.2">
      <c r="A243" s="1" t="s">
        <v>663</v>
      </c>
      <c r="C243" s="19">
        <v>500000</v>
      </c>
      <c r="D243" s="38">
        <f>D245</f>
        <v>550000</v>
      </c>
      <c r="E243" s="38">
        <f>D243</f>
        <v>550000</v>
      </c>
      <c r="F243" s="38">
        <f>F245</f>
        <v>570000</v>
      </c>
      <c r="G243" s="38">
        <f>F243</f>
        <v>570000</v>
      </c>
      <c r="H243" s="38">
        <f>H245</f>
        <v>590000</v>
      </c>
    </row>
    <row r="244" spans="1:8" x14ac:dyDescent="0.2">
      <c r="A244" s="1" t="s">
        <v>96</v>
      </c>
      <c r="C244" s="19">
        <f>-C247</f>
        <v>-50000</v>
      </c>
      <c r="D244" s="19">
        <v>0</v>
      </c>
      <c r="E244" s="38">
        <f>-E247</f>
        <v>-61111.111111111109</v>
      </c>
      <c r="F244" s="19">
        <v>0</v>
      </c>
      <c r="G244" s="19">
        <f>-G247</f>
        <v>-71250</v>
      </c>
      <c r="H244" s="19">
        <v>0</v>
      </c>
    </row>
    <row r="245" spans="1:8" x14ac:dyDescent="0.2">
      <c r="A245" s="1" t="s">
        <v>99</v>
      </c>
      <c r="C245" s="19">
        <f>C243+C244</f>
        <v>450000</v>
      </c>
      <c r="D245" s="38">
        <f>C235</f>
        <v>550000</v>
      </c>
      <c r="E245" s="38">
        <f>E243+E244</f>
        <v>488888.88888888888</v>
      </c>
      <c r="F245" s="38">
        <f>C236</f>
        <v>570000</v>
      </c>
      <c r="G245" s="38">
        <f>G243+G244</f>
        <v>498750</v>
      </c>
      <c r="H245" s="38">
        <f>C237</f>
        <v>590000</v>
      </c>
    </row>
    <row r="246" spans="1:8" x14ac:dyDescent="0.2">
      <c r="C246" s="19"/>
      <c r="D246" s="19"/>
      <c r="E246" s="19"/>
      <c r="F246" s="19"/>
      <c r="G246" s="19"/>
      <c r="H246" s="19"/>
    </row>
    <row r="247" spans="1:8" x14ac:dyDescent="0.2">
      <c r="A247" s="1" t="s">
        <v>100</v>
      </c>
      <c r="C247" s="19">
        <f>C243/10</f>
        <v>50000</v>
      </c>
      <c r="D247" s="19">
        <f>C247</f>
        <v>50000</v>
      </c>
      <c r="E247" s="38">
        <f>D245/9</f>
        <v>61111.111111111109</v>
      </c>
      <c r="F247" s="38">
        <f>E247</f>
        <v>61111.111111111109</v>
      </c>
      <c r="G247" s="19">
        <f>F245/8</f>
        <v>71250</v>
      </c>
      <c r="H247" s="19">
        <f>G247</f>
        <v>71250</v>
      </c>
    </row>
    <row r="248" spans="1:8" x14ac:dyDescent="0.2">
      <c r="C248" s="19"/>
      <c r="D248" s="19"/>
      <c r="E248" s="19"/>
      <c r="F248" s="19"/>
      <c r="G248" s="19"/>
      <c r="H248" s="19"/>
    </row>
    <row r="249" spans="1:8" x14ac:dyDescent="0.2">
      <c r="A249" s="1" t="s">
        <v>661</v>
      </c>
      <c r="C249" s="19"/>
      <c r="D249" s="38">
        <f>D245-C245</f>
        <v>100000</v>
      </c>
      <c r="E249" s="19"/>
      <c r="F249" s="38">
        <f>C236-E245</f>
        <v>81111.111111111124</v>
      </c>
      <c r="G249" s="19"/>
      <c r="H249" s="38">
        <f>H245-G245</f>
        <v>91250</v>
      </c>
    </row>
    <row r="250" spans="1:8" x14ac:dyDescent="0.2">
      <c r="A250" s="1" t="s">
        <v>662</v>
      </c>
      <c r="C250" s="19"/>
      <c r="D250" s="38">
        <f>D249</f>
        <v>100000</v>
      </c>
      <c r="E250" s="19"/>
      <c r="F250" s="38">
        <f>F249+D250</f>
        <v>181111.11111111112</v>
      </c>
      <c r="G250" s="19"/>
      <c r="H250" s="38">
        <f>H249+F250</f>
        <v>272361.11111111112</v>
      </c>
    </row>
  </sheetData>
  <mergeCells count="3">
    <mergeCell ref="E81:F81"/>
    <mergeCell ref="D118:E118"/>
    <mergeCell ref="A145:H14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E9FD1-920F-B24D-BB0B-4654D39FE2B3}">
  <dimension ref="A1:AF107"/>
  <sheetViews>
    <sheetView rightToLeft="1" topLeftCell="N71" zoomScale="170" zoomScaleNormal="170" workbookViewId="0">
      <selection activeCell="X88" sqref="X88"/>
    </sheetView>
  </sheetViews>
  <sheetFormatPr baseColWidth="10" defaultRowHeight="16" x14ac:dyDescent="0.2"/>
  <cols>
    <col min="1" max="11" width="10.83203125" style="1"/>
    <col min="12" max="14" width="10.83203125" style="1" customWidth="1"/>
    <col min="15" max="15" width="11.1640625" style="1" customWidth="1"/>
    <col min="16" max="26" width="10.83203125" style="1" customWidth="1"/>
    <col min="27" max="16384" width="10.83203125" style="1"/>
  </cols>
  <sheetData>
    <row r="1" spans="1:8" x14ac:dyDescent="0.2">
      <c r="A1" s="3" t="s">
        <v>664</v>
      </c>
      <c r="B1" s="3"/>
      <c r="C1" s="3"/>
      <c r="D1" s="3"/>
      <c r="E1" s="3"/>
      <c r="F1" s="3"/>
      <c r="G1" s="3"/>
      <c r="H1" s="97">
        <v>45750</v>
      </c>
    </row>
    <row r="3" spans="1:8" x14ac:dyDescent="0.2">
      <c r="A3" s="98" t="s">
        <v>665</v>
      </c>
      <c r="B3" s="98"/>
      <c r="C3" s="98"/>
      <c r="D3" s="98"/>
      <c r="E3" s="98"/>
      <c r="F3" s="98"/>
      <c r="G3" s="98"/>
      <c r="H3" s="98"/>
    </row>
    <row r="4" spans="1:8" x14ac:dyDescent="0.2">
      <c r="A4" s="1" t="s">
        <v>666</v>
      </c>
    </row>
    <row r="5" spans="1:8" x14ac:dyDescent="0.2">
      <c r="A5" s="1" t="s">
        <v>667</v>
      </c>
    </row>
    <row r="6" spans="1:8" x14ac:dyDescent="0.2">
      <c r="A6" s="1" t="s">
        <v>668</v>
      </c>
    </row>
    <row r="7" spans="1:8" x14ac:dyDescent="0.2">
      <c r="A7" s="1" t="s">
        <v>669</v>
      </c>
    </row>
    <row r="8" spans="1:8" x14ac:dyDescent="0.2">
      <c r="A8" s="1" t="s">
        <v>670</v>
      </c>
    </row>
    <row r="9" spans="1:8" x14ac:dyDescent="0.2">
      <c r="A9" s="1" t="s">
        <v>671</v>
      </c>
    </row>
    <row r="10" spans="1:8" x14ac:dyDescent="0.2">
      <c r="A10" s="1" t="s">
        <v>672</v>
      </c>
    </row>
    <row r="11" spans="1:8" x14ac:dyDescent="0.2">
      <c r="A11" s="1" t="s">
        <v>673</v>
      </c>
    </row>
    <row r="12" spans="1:8" x14ac:dyDescent="0.2">
      <c r="A12" s="1" t="s">
        <v>674</v>
      </c>
    </row>
    <row r="13" spans="1:8" x14ac:dyDescent="0.2">
      <c r="A13" s="1" t="s">
        <v>675</v>
      </c>
    </row>
    <row r="14" spans="1:8" x14ac:dyDescent="0.2">
      <c r="A14" s="1" t="s">
        <v>676</v>
      </c>
    </row>
    <row r="15" spans="1:8" x14ac:dyDescent="0.2">
      <c r="A15" s="1" t="s">
        <v>677</v>
      </c>
    </row>
    <row r="16" spans="1:8" x14ac:dyDescent="0.2">
      <c r="A16" s="1" t="s">
        <v>678</v>
      </c>
    </row>
    <row r="17" spans="1:8" x14ac:dyDescent="0.2">
      <c r="A17" s="1" t="s">
        <v>679</v>
      </c>
    </row>
    <row r="19" spans="1:8" x14ac:dyDescent="0.2">
      <c r="A19" s="98" t="s">
        <v>680</v>
      </c>
      <c r="B19" s="98"/>
      <c r="C19" s="98"/>
      <c r="D19" s="98"/>
      <c r="E19" s="98"/>
      <c r="F19" s="98"/>
      <c r="G19" s="98"/>
      <c r="H19" s="98"/>
    </row>
    <row r="20" spans="1:8" x14ac:dyDescent="0.2">
      <c r="A20" s="1" t="s">
        <v>681</v>
      </c>
    </row>
    <row r="21" spans="1:8" x14ac:dyDescent="0.2">
      <c r="A21" s="1" t="s">
        <v>682</v>
      </c>
    </row>
    <row r="22" spans="1:8" x14ac:dyDescent="0.2">
      <c r="A22" s="1" t="s">
        <v>683</v>
      </c>
    </row>
    <row r="23" spans="1:8" x14ac:dyDescent="0.2">
      <c r="A23" s="1" t="s">
        <v>684</v>
      </c>
    </row>
    <row r="24" spans="1:8" x14ac:dyDescent="0.2">
      <c r="A24" s="1" t="s">
        <v>685</v>
      </c>
    </row>
    <row r="25" spans="1:8" x14ac:dyDescent="0.2">
      <c r="A25" s="1" t="s">
        <v>686</v>
      </c>
    </row>
    <row r="36" spans="1:30" x14ac:dyDescent="0.2">
      <c r="A36" s="1" t="s">
        <v>687</v>
      </c>
    </row>
    <row r="37" spans="1:30" x14ac:dyDescent="0.2">
      <c r="A37" s="1" t="s">
        <v>688</v>
      </c>
    </row>
    <row r="38" spans="1:30" x14ac:dyDescent="0.2">
      <c r="A38" s="1" t="s">
        <v>689</v>
      </c>
    </row>
    <row r="39" spans="1:30" x14ac:dyDescent="0.2">
      <c r="A39" s="1" t="s">
        <v>690</v>
      </c>
    </row>
    <row r="41" spans="1:30" x14ac:dyDescent="0.2">
      <c r="A41" s="1" t="s">
        <v>691</v>
      </c>
    </row>
    <row r="42" spans="1:30" x14ac:dyDescent="0.2">
      <c r="A42" s="1" t="s">
        <v>692</v>
      </c>
    </row>
    <row r="43" spans="1:30" x14ac:dyDescent="0.2">
      <c r="M43" s="19" t="s">
        <v>711</v>
      </c>
      <c r="N43" s="19" t="s">
        <v>711</v>
      </c>
      <c r="O43" s="69" t="s">
        <v>722</v>
      </c>
      <c r="P43" s="19" t="s">
        <v>711</v>
      </c>
      <c r="Q43" s="19" t="s">
        <v>711</v>
      </c>
      <c r="R43" s="69" t="s">
        <v>722</v>
      </c>
      <c r="U43" s="69" t="s">
        <v>722</v>
      </c>
      <c r="X43" s="69" t="s">
        <v>722</v>
      </c>
      <c r="AA43" s="69" t="s">
        <v>722</v>
      </c>
    </row>
    <row r="44" spans="1:30" x14ac:dyDescent="0.2">
      <c r="A44" s="99" t="s">
        <v>693</v>
      </c>
      <c r="B44" s="99"/>
      <c r="C44" s="99"/>
      <c r="D44" s="99"/>
      <c r="E44" s="99"/>
      <c r="F44" s="99"/>
      <c r="G44" s="99"/>
      <c r="H44" s="99"/>
      <c r="L44" s="19" t="s">
        <v>711</v>
      </c>
      <c r="M44" s="19" t="s">
        <v>723</v>
      </c>
      <c r="N44" s="19" t="s">
        <v>724</v>
      </c>
      <c r="O44" s="19" t="s">
        <v>725</v>
      </c>
      <c r="P44" s="19" t="s">
        <v>723</v>
      </c>
      <c r="Q44" s="19" t="s">
        <v>724</v>
      </c>
      <c r="R44" s="19" t="s">
        <v>725</v>
      </c>
      <c r="S44" s="19" t="s">
        <v>658</v>
      </c>
      <c r="T44" s="19" t="s">
        <v>724</v>
      </c>
      <c r="U44" s="19" t="s">
        <v>725</v>
      </c>
      <c r="V44" s="19" t="s">
        <v>658</v>
      </c>
      <c r="W44" s="19" t="s">
        <v>724</v>
      </c>
      <c r="X44" s="19" t="s">
        <v>725</v>
      </c>
      <c r="Y44" s="19" t="s">
        <v>658</v>
      </c>
      <c r="Z44" s="19" t="s">
        <v>724</v>
      </c>
      <c r="AA44" s="19" t="s">
        <v>725</v>
      </c>
      <c r="AB44" s="19" t="s">
        <v>332</v>
      </c>
      <c r="AC44" s="19" t="s">
        <v>722</v>
      </c>
      <c r="AD44" s="19"/>
    </row>
    <row r="45" spans="1:30" x14ac:dyDescent="0.2">
      <c r="A45" s="1" t="s">
        <v>694</v>
      </c>
      <c r="L45" s="36">
        <v>42370</v>
      </c>
      <c r="M45" s="36">
        <v>42735</v>
      </c>
      <c r="N45" s="36">
        <v>42735</v>
      </c>
      <c r="O45" s="36">
        <v>42735</v>
      </c>
      <c r="P45" s="36">
        <v>43100</v>
      </c>
      <c r="Q45" s="36">
        <v>43100</v>
      </c>
      <c r="R45" s="36">
        <v>43100</v>
      </c>
      <c r="S45" s="36">
        <v>43465</v>
      </c>
      <c r="T45" s="36">
        <v>43465</v>
      </c>
      <c r="U45" s="36">
        <v>43465</v>
      </c>
      <c r="V45" s="36">
        <v>43830</v>
      </c>
      <c r="W45" s="36">
        <v>43830</v>
      </c>
      <c r="X45" s="36">
        <v>43830</v>
      </c>
      <c r="Y45" s="36">
        <v>44196</v>
      </c>
      <c r="Z45" s="36">
        <v>44196</v>
      </c>
      <c r="AA45" s="36">
        <v>44196</v>
      </c>
      <c r="AB45" s="36">
        <v>44377</v>
      </c>
      <c r="AC45" s="36">
        <v>44926</v>
      </c>
      <c r="AD45" s="56"/>
    </row>
    <row r="46" spans="1:30" x14ac:dyDescent="0.2">
      <c r="A46" s="1" t="s">
        <v>695</v>
      </c>
      <c r="J46" s="1" t="s">
        <v>719</v>
      </c>
      <c r="L46" s="38">
        <f>L75</f>
        <v>973438.72827321163</v>
      </c>
      <c r="M46" s="38">
        <f>L46</f>
        <v>973438.72827321163</v>
      </c>
      <c r="N46" s="38">
        <f>N49</f>
        <v>953969.95370774739</v>
      </c>
      <c r="O46" s="38">
        <f>O49</f>
        <v>1200000</v>
      </c>
      <c r="P46" s="38">
        <f>O46</f>
        <v>1200000</v>
      </c>
      <c r="Q46" s="38">
        <f>Q49</f>
        <v>1175510.2040816327</v>
      </c>
      <c r="R46" s="38">
        <f>R49-R48</f>
        <v>929480.15778938006</v>
      </c>
      <c r="S46" s="38">
        <f>R46</f>
        <v>929480.15778938006</v>
      </c>
      <c r="T46" s="38">
        <f>T49-T48</f>
        <v>910115.98783543461</v>
      </c>
      <c r="U46" s="38">
        <f>U49-U48</f>
        <v>910115.98783543461</v>
      </c>
      <c r="V46" s="38">
        <f>U46</f>
        <v>910115.98783543461</v>
      </c>
      <c r="W46" s="38">
        <f>V46+V47</f>
        <v>890751.81788148917</v>
      </c>
      <c r="X46" s="38">
        <f>X49</f>
        <v>900000</v>
      </c>
      <c r="Y46" s="38">
        <f>X46</f>
        <v>900000</v>
      </c>
      <c r="Z46" s="38">
        <f>Z49</f>
        <v>880434.78260869568</v>
      </c>
      <c r="AA46" s="38">
        <f>AA49</f>
        <v>1200000</v>
      </c>
      <c r="AB46" s="38">
        <f>AA46</f>
        <v>1200000</v>
      </c>
      <c r="AC46" s="38">
        <v>0</v>
      </c>
      <c r="AD46" s="38"/>
    </row>
    <row r="47" spans="1:30" x14ac:dyDescent="0.2">
      <c r="A47" s="1" t="s">
        <v>696</v>
      </c>
      <c r="J47" s="1" t="s">
        <v>96</v>
      </c>
      <c r="L47" s="19">
        <v>0</v>
      </c>
      <c r="M47" s="21">
        <f>-M51</f>
        <v>-19468.774565464231</v>
      </c>
      <c r="N47" s="21">
        <v>0</v>
      </c>
      <c r="O47" s="21">
        <v>0</v>
      </c>
      <c r="P47" s="21">
        <f>-P51</f>
        <v>-24489.795918367348</v>
      </c>
      <c r="Q47" s="21">
        <v>0</v>
      </c>
      <c r="R47" s="21">
        <v>0</v>
      </c>
      <c r="S47" s="21">
        <f>-S51+R48/48</f>
        <v>-19364.16995394542</v>
      </c>
      <c r="T47" s="21">
        <v>0</v>
      </c>
      <c r="U47" s="21">
        <f>T47</f>
        <v>0</v>
      </c>
      <c r="V47" s="21">
        <f>-V51+U48/47</f>
        <v>-19364.169953945417</v>
      </c>
      <c r="W47" s="21">
        <v>0</v>
      </c>
      <c r="X47" s="21">
        <v>0</v>
      </c>
      <c r="Y47" s="21">
        <f>-Y51</f>
        <v>-19565.217391304348</v>
      </c>
      <c r="Z47" s="21">
        <v>0</v>
      </c>
      <c r="AA47" s="21">
        <v>0</v>
      </c>
      <c r="AB47" s="21">
        <f>-AB51</f>
        <v>-13333.333333333334</v>
      </c>
      <c r="AC47" s="21">
        <v>0</v>
      </c>
      <c r="AD47" s="21"/>
    </row>
    <row r="48" spans="1:30" x14ac:dyDescent="0.2">
      <c r="A48" s="1" t="s">
        <v>697</v>
      </c>
      <c r="J48" s="1" t="s">
        <v>718</v>
      </c>
      <c r="L48" s="19">
        <v>0</v>
      </c>
      <c r="M48" s="19">
        <v>0</v>
      </c>
      <c r="N48" s="19">
        <v>0</v>
      </c>
      <c r="O48" s="19">
        <v>0</v>
      </c>
      <c r="P48" s="19">
        <v>0</v>
      </c>
      <c r="Q48" s="19">
        <v>0</v>
      </c>
      <c r="R48" s="21">
        <f>-R53</f>
        <v>-229480.15778938006</v>
      </c>
      <c r="S48" s="21">
        <f>R48*47/48</f>
        <v>-224699.32116876799</v>
      </c>
      <c r="T48" s="21">
        <f>S48</f>
        <v>-224699.32116876799</v>
      </c>
      <c r="U48" s="21">
        <f>T48-U53</f>
        <v>-410115.98783543461</v>
      </c>
      <c r="V48" s="21">
        <f>U48*46/47</f>
        <v>-401390.11575382965</v>
      </c>
      <c r="W48" s="21">
        <f>V48</f>
        <v>-401390.11575382965</v>
      </c>
      <c r="X48" s="21">
        <v>0</v>
      </c>
      <c r="Y48" s="21">
        <v>0</v>
      </c>
      <c r="Z48" s="21">
        <v>0</v>
      </c>
      <c r="AA48" s="21">
        <v>0</v>
      </c>
      <c r="AB48" s="21">
        <v>0</v>
      </c>
      <c r="AC48" s="21">
        <v>0</v>
      </c>
      <c r="AD48" s="21"/>
    </row>
    <row r="49" spans="1:30" x14ac:dyDescent="0.2">
      <c r="A49" s="1" t="s">
        <v>698</v>
      </c>
      <c r="J49" s="1" t="s">
        <v>99</v>
      </c>
      <c r="L49" s="39">
        <f>L46</f>
        <v>973438.72827321163</v>
      </c>
      <c r="M49" s="39">
        <f>M46+M47</f>
        <v>953969.95370774739</v>
      </c>
      <c r="N49" s="39">
        <f>M49</f>
        <v>953969.95370774739</v>
      </c>
      <c r="O49" s="39">
        <f>D60</f>
        <v>1200000</v>
      </c>
      <c r="P49" s="39">
        <f>P46+P47</f>
        <v>1175510.2040816327</v>
      </c>
      <c r="Q49" s="39">
        <f>P49</f>
        <v>1175510.2040816327</v>
      </c>
      <c r="R49" s="39">
        <f>D61</f>
        <v>700000</v>
      </c>
      <c r="S49" s="39">
        <f>S46+S47+S48</f>
        <v>685416.66666666663</v>
      </c>
      <c r="T49" s="39">
        <f>S49</f>
        <v>685416.66666666663</v>
      </c>
      <c r="U49" s="39">
        <f>D62</f>
        <v>500000</v>
      </c>
      <c r="V49" s="39">
        <f>V46+V47+V48</f>
        <v>489361.70212765952</v>
      </c>
      <c r="W49" s="39">
        <f>W46+W47+W48</f>
        <v>489361.70212765952</v>
      </c>
      <c r="X49" s="39">
        <f>D63</f>
        <v>900000</v>
      </c>
      <c r="Y49" s="39">
        <f>Y46+Y47+Y48</f>
        <v>880434.78260869568</v>
      </c>
      <c r="Z49" s="39">
        <f>Y49</f>
        <v>880434.78260869568</v>
      </c>
      <c r="AA49" s="39">
        <f>D64</f>
        <v>1200000</v>
      </c>
      <c r="AB49" s="39">
        <f>AB46+AB47</f>
        <v>1186666.6666666667</v>
      </c>
      <c r="AC49" s="39">
        <v>0</v>
      </c>
      <c r="AD49" s="38"/>
    </row>
    <row r="50" spans="1:30" x14ac:dyDescent="0.2">
      <c r="A50" s="1" t="s">
        <v>699</v>
      </c>
      <c r="L50" s="19"/>
      <c r="M50" s="19"/>
      <c r="N50" s="19"/>
      <c r="O50" s="19"/>
      <c r="P50" s="19"/>
      <c r="Q50" s="19"/>
      <c r="R50" s="19"/>
      <c r="S50" s="19"/>
      <c r="T50" s="19"/>
      <c r="U50" s="19"/>
      <c r="V50" s="19"/>
      <c r="W50" s="19"/>
      <c r="X50" s="19"/>
      <c r="Y50" s="19"/>
      <c r="Z50" s="19"/>
      <c r="AA50" s="19"/>
      <c r="AB50" s="19"/>
      <c r="AC50" s="19"/>
      <c r="AD50" s="19"/>
    </row>
    <row r="51" spans="1:30" x14ac:dyDescent="0.2">
      <c r="A51" s="1" t="s">
        <v>700</v>
      </c>
      <c r="J51" s="1" t="s">
        <v>100</v>
      </c>
      <c r="L51" s="19"/>
      <c r="M51" s="38">
        <f>L49/50</f>
        <v>19468.774565464231</v>
      </c>
      <c r="N51" s="38">
        <f>M51</f>
        <v>19468.774565464231</v>
      </c>
      <c r="O51" s="38">
        <f>N51</f>
        <v>19468.774565464231</v>
      </c>
      <c r="P51" s="38">
        <f>O49/49</f>
        <v>24489.795918367348</v>
      </c>
      <c r="Q51" s="38">
        <f>P51</f>
        <v>24489.795918367348</v>
      </c>
      <c r="R51" s="38">
        <f>Q51</f>
        <v>24489.795918367348</v>
      </c>
      <c r="S51" s="38">
        <f>R49/48</f>
        <v>14583.333333333334</v>
      </c>
      <c r="T51" s="38">
        <f>S51</f>
        <v>14583.333333333334</v>
      </c>
      <c r="U51" s="38">
        <f>T51</f>
        <v>14583.333333333334</v>
      </c>
      <c r="V51" s="38">
        <f>U49/47</f>
        <v>10638.297872340425</v>
      </c>
      <c r="W51" s="38">
        <f>V51</f>
        <v>10638.297872340425</v>
      </c>
      <c r="X51" s="38">
        <f>W51</f>
        <v>10638.297872340425</v>
      </c>
      <c r="Y51" s="38">
        <f>X49/46</f>
        <v>19565.217391304348</v>
      </c>
      <c r="Z51" s="38">
        <f>Y51</f>
        <v>19565.217391304348</v>
      </c>
      <c r="AA51" s="38">
        <f>Z51</f>
        <v>19565.217391304348</v>
      </c>
      <c r="AB51" s="38">
        <f>AA49/45*6/12</f>
        <v>13333.333333333334</v>
      </c>
      <c r="AC51" s="38">
        <f>AB51</f>
        <v>13333.333333333334</v>
      </c>
      <c r="AD51" s="38"/>
    </row>
    <row r="52" spans="1:30" x14ac:dyDescent="0.2">
      <c r="A52" s="1" t="s">
        <v>701</v>
      </c>
      <c r="J52" s="1" t="s">
        <v>726</v>
      </c>
      <c r="L52" s="19"/>
      <c r="M52" s="38"/>
      <c r="N52" s="38"/>
      <c r="O52" s="38"/>
      <c r="P52" s="38"/>
      <c r="Q52" s="38"/>
      <c r="R52" s="38"/>
      <c r="S52" s="38"/>
      <c r="T52" s="38"/>
      <c r="U52" s="38"/>
      <c r="V52" s="38"/>
      <c r="W52" s="38"/>
      <c r="X52" s="38">
        <f>-W48</f>
        <v>401390.11575382965</v>
      </c>
      <c r="Y52" s="38"/>
      <c r="Z52" s="38"/>
      <c r="AA52" s="38"/>
      <c r="AB52" s="38"/>
      <c r="AC52" s="38"/>
      <c r="AD52" s="38"/>
    </row>
    <row r="53" spans="1:30" x14ac:dyDescent="0.2">
      <c r="A53" s="1" t="s">
        <v>702</v>
      </c>
      <c r="J53" s="1" t="s">
        <v>727</v>
      </c>
      <c r="L53" s="19"/>
      <c r="M53" s="38"/>
      <c r="N53" s="38"/>
      <c r="O53" s="38"/>
      <c r="P53" s="38"/>
      <c r="Q53" s="38"/>
      <c r="R53" s="38">
        <f>Q49-R49-R59</f>
        <v>229480.15778938006</v>
      </c>
      <c r="S53" s="38"/>
      <c r="T53" s="38"/>
      <c r="U53" s="38">
        <f>T49-U49</f>
        <v>185416.66666666663</v>
      </c>
      <c r="V53" s="38"/>
      <c r="W53" s="38"/>
      <c r="X53" s="38"/>
      <c r="Y53" s="38"/>
      <c r="Z53" s="38"/>
      <c r="AA53" s="38"/>
      <c r="AB53" s="38"/>
      <c r="AC53" s="38"/>
      <c r="AD53" s="38"/>
    </row>
    <row r="54" spans="1:30" x14ac:dyDescent="0.2">
      <c r="A54" s="1" t="s">
        <v>703</v>
      </c>
      <c r="J54" s="1" t="s">
        <v>548</v>
      </c>
      <c r="L54" s="19"/>
      <c r="M54" s="38">
        <f>7%*L62</f>
        <v>61140.710979124822</v>
      </c>
      <c r="N54" s="38">
        <f>M54</f>
        <v>61140.710979124822</v>
      </c>
      <c r="O54" s="38">
        <f>N54</f>
        <v>61140.710979124822</v>
      </c>
      <c r="P54" s="38">
        <f>O62*7%</f>
        <v>65420.560747663563</v>
      </c>
      <c r="Q54" s="38">
        <f>P54</f>
        <v>65420.560747663563</v>
      </c>
      <c r="R54" s="38">
        <f>Q54</f>
        <v>65420.560747663563</v>
      </c>
      <c r="S54" s="100"/>
      <c r="T54" s="100"/>
      <c r="U54" s="100"/>
      <c r="V54" s="100"/>
      <c r="W54" s="100"/>
      <c r="X54" s="100"/>
      <c r="Y54" s="100"/>
      <c r="Z54" s="100"/>
      <c r="AA54" s="100"/>
      <c r="AB54" s="100"/>
      <c r="AC54" s="100"/>
      <c r="AD54" s="38"/>
    </row>
    <row r="55" spans="1:30" x14ac:dyDescent="0.2">
      <c r="A55" s="1" t="s">
        <v>704</v>
      </c>
      <c r="J55" s="1" t="s">
        <v>733</v>
      </c>
      <c r="L55" s="19"/>
      <c r="M55" s="38"/>
      <c r="N55" s="38"/>
      <c r="O55" s="38"/>
      <c r="P55" s="38"/>
      <c r="Q55" s="38"/>
      <c r="R55" s="38"/>
      <c r="S55" s="38"/>
      <c r="T55" s="38"/>
      <c r="U55" s="38"/>
      <c r="V55" s="38"/>
      <c r="W55" s="38"/>
      <c r="X55" s="38"/>
      <c r="Y55" s="38"/>
      <c r="Z55" s="38"/>
      <c r="AA55" s="38"/>
      <c r="AB55" s="38"/>
      <c r="AC55" s="38">
        <f>-Y72</f>
        <v>158629.28348909668</v>
      </c>
      <c r="AD55" s="38"/>
    </row>
    <row r="56" spans="1:30" x14ac:dyDescent="0.2">
      <c r="A56" s="1" t="s">
        <v>728</v>
      </c>
      <c r="AD56" s="21"/>
    </row>
    <row r="57" spans="1:30" x14ac:dyDescent="0.2">
      <c r="A57" s="1" t="s">
        <v>705</v>
      </c>
    </row>
    <row r="58" spans="1:30" x14ac:dyDescent="0.2">
      <c r="J58" s="1" t="s">
        <v>661</v>
      </c>
      <c r="L58" s="19"/>
      <c r="M58" s="38"/>
      <c r="N58" s="38"/>
      <c r="O58" s="38">
        <f>O49-N49</f>
        <v>246030.04629225261</v>
      </c>
      <c r="P58" s="38"/>
      <c r="Q58" s="38"/>
      <c r="R58" s="38"/>
      <c r="S58" s="38"/>
      <c r="T58" s="38"/>
      <c r="U58" s="38"/>
      <c r="V58" s="38"/>
      <c r="W58" s="38"/>
      <c r="X58" s="21">
        <f>X49-W49-X52</f>
        <v>9248.1821185108274</v>
      </c>
      <c r="Y58" s="38"/>
      <c r="Z58" s="38"/>
      <c r="AA58" s="21">
        <f>AA49-Z49</f>
        <v>319565.21739130432</v>
      </c>
      <c r="AB58" s="21"/>
      <c r="AC58" s="21"/>
      <c r="AD58" s="38"/>
    </row>
    <row r="59" spans="1:30" x14ac:dyDescent="0.2">
      <c r="C59" s="94" t="s">
        <v>656</v>
      </c>
      <c r="D59" s="94" t="s">
        <v>706</v>
      </c>
      <c r="J59" s="1" t="s">
        <v>720</v>
      </c>
      <c r="L59" s="19"/>
      <c r="M59" s="38"/>
      <c r="N59" s="38"/>
      <c r="O59" s="38"/>
      <c r="P59" s="38"/>
      <c r="Q59" s="38"/>
      <c r="R59" s="21">
        <f>Q60</f>
        <v>246030.04629225261</v>
      </c>
      <c r="S59" s="21"/>
      <c r="T59" s="21"/>
      <c r="U59" s="21"/>
      <c r="V59" s="21"/>
      <c r="W59" s="21"/>
      <c r="Y59" s="21"/>
      <c r="Z59" s="21"/>
      <c r="AD59" s="38"/>
    </row>
    <row r="60" spans="1:30" x14ac:dyDescent="0.2">
      <c r="C60" s="35">
        <v>42735</v>
      </c>
      <c r="D60" s="73">
        <v>1200000</v>
      </c>
      <c r="J60" s="1" t="s">
        <v>721</v>
      </c>
      <c r="L60" s="19"/>
      <c r="M60" s="38"/>
      <c r="N60" s="38"/>
      <c r="O60" s="38">
        <f>O58</f>
        <v>246030.04629225261</v>
      </c>
      <c r="P60" s="38">
        <f>O60</f>
        <v>246030.04629225261</v>
      </c>
      <c r="Q60" s="38">
        <f>P60</f>
        <v>246030.04629225261</v>
      </c>
      <c r="R60" s="38">
        <f>0</f>
        <v>0</v>
      </c>
      <c r="S60" s="38">
        <f>R60</f>
        <v>0</v>
      </c>
      <c r="T60" s="38">
        <f>S60</f>
        <v>0</v>
      </c>
      <c r="U60" s="38">
        <v>0</v>
      </c>
      <c r="V60" s="38">
        <v>0</v>
      </c>
      <c r="W60" s="38">
        <v>0</v>
      </c>
      <c r="X60" s="38">
        <f>X58</f>
        <v>9248.1821185108274</v>
      </c>
      <c r="Y60" s="38">
        <f>X60</f>
        <v>9248.1821185108274</v>
      </c>
      <c r="Z60" s="38">
        <f>Y60</f>
        <v>9248.1821185108274</v>
      </c>
      <c r="AA60" s="38">
        <f>AA58+Z60</f>
        <v>328813.39950981515</v>
      </c>
      <c r="AB60" s="38">
        <f>AA60</f>
        <v>328813.39950981515</v>
      </c>
      <c r="AC60" s="38">
        <v>0</v>
      </c>
      <c r="AD60" s="38"/>
    </row>
    <row r="61" spans="1:30" x14ac:dyDescent="0.2">
      <c r="C61" s="35">
        <v>43100</v>
      </c>
      <c r="D61" s="73">
        <v>700000</v>
      </c>
      <c r="L61" s="19"/>
      <c r="M61" s="38"/>
      <c r="N61" s="38"/>
      <c r="O61" s="38"/>
      <c r="P61" s="38"/>
      <c r="Q61" s="38"/>
      <c r="R61" s="38"/>
      <c r="S61" s="38"/>
      <c r="T61" s="38"/>
      <c r="U61" s="38"/>
      <c r="V61" s="38"/>
      <c r="W61" s="38"/>
      <c r="X61" s="38"/>
      <c r="Y61" s="38"/>
      <c r="Z61" s="38"/>
      <c r="AA61" s="38"/>
      <c r="AB61" s="38"/>
      <c r="AC61" s="38"/>
    </row>
    <row r="62" spans="1:30" x14ac:dyDescent="0.2">
      <c r="C62" s="35">
        <v>43465</v>
      </c>
      <c r="D62" s="73">
        <v>500000</v>
      </c>
      <c r="J62" s="1" t="s">
        <v>547</v>
      </c>
      <c r="L62" s="38">
        <f>L74</f>
        <v>873438.72827321163</v>
      </c>
      <c r="M62" s="38">
        <f>L62+M54</f>
        <v>934579.43925233651</v>
      </c>
      <c r="N62" s="38">
        <f>M62</f>
        <v>934579.43925233651</v>
      </c>
      <c r="O62" s="38">
        <f>N62</f>
        <v>934579.43925233651</v>
      </c>
      <c r="P62" s="38">
        <v>0</v>
      </c>
      <c r="Q62" s="38">
        <f>P62</f>
        <v>0</v>
      </c>
      <c r="R62" s="38">
        <v>0</v>
      </c>
      <c r="S62" s="100"/>
      <c r="T62" s="100"/>
      <c r="U62" s="100"/>
      <c r="V62" s="100"/>
      <c r="W62" s="100"/>
      <c r="X62" s="100"/>
      <c r="Y62" s="100"/>
      <c r="Z62" s="100"/>
      <c r="AA62" s="100"/>
      <c r="AB62" s="100"/>
      <c r="AC62" s="100"/>
    </row>
    <row r="63" spans="1:30" x14ac:dyDescent="0.2">
      <c r="C63" s="35">
        <v>43830</v>
      </c>
      <c r="D63" s="73">
        <v>900000</v>
      </c>
      <c r="M63" s="23"/>
      <c r="N63" s="23"/>
      <c r="O63" s="23"/>
      <c r="P63" s="23"/>
    </row>
    <row r="64" spans="1:30" x14ac:dyDescent="0.2">
      <c r="C64" s="35">
        <v>44196</v>
      </c>
      <c r="D64" s="73">
        <v>1200000</v>
      </c>
    </row>
    <row r="66" spans="1:29" x14ac:dyDescent="0.2">
      <c r="A66" s="1" t="s">
        <v>707</v>
      </c>
    </row>
    <row r="67" spans="1:29" x14ac:dyDescent="0.2">
      <c r="A67" s="1" t="s">
        <v>708</v>
      </c>
    </row>
    <row r="68" spans="1:29" x14ac:dyDescent="0.2">
      <c r="J68" s="1" t="s">
        <v>712</v>
      </c>
    </row>
    <row r="69" spans="1:29" x14ac:dyDescent="0.2">
      <c r="A69" s="1" t="s">
        <v>709</v>
      </c>
      <c r="W69" s="1" t="s">
        <v>729</v>
      </c>
    </row>
    <row r="70" spans="1:29" x14ac:dyDescent="0.2">
      <c r="A70" s="1" t="s">
        <v>710</v>
      </c>
      <c r="J70" s="1" t="s">
        <v>713</v>
      </c>
      <c r="W70" s="1" t="s">
        <v>730</v>
      </c>
      <c r="Y70" s="21">
        <f>-AB75</f>
        <v>1028037.3831775701</v>
      </c>
    </row>
    <row r="71" spans="1:29" x14ac:dyDescent="0.2">
      <c r="J71" s="1" t="s">
        <v>714</v>
      </c>
      <c r="L71" s="23">
        <v>30000</v>
      </c>
      <c r="W71" s="1" t="s">
        <v>731</v>
      </c>
      <c r="Y71" s="21">
        <f>-AB49</f>
        <v>-1186666.6666666667</v>
      </c>
    </row>
    <row r="72" spans="1:29" x14ac:dyDescent="0.2">
      <c r="J72" s="1" t="s">
        <v>715</v>
      </c>
      <c r="L72" s="23">
        <v>70000</v>
      </c>
      <c r="W72" s="1" t="s">
        <v>732</v>
      </c>
      <c r="Y72" s="22">
        <f>Y70+Y71</f>
        <v>-158629.28348909668</v>
      </c>
      <c r="AB72" s="24">
        <v>7.0000000000000007E-2</v>
      </c>
      <c r="AC72" s="1" t="s">
        <v>113</v>
      </c>
    </row>
    <row r="73" spans="1:29" x14ac:dyDescent="0.2">
      <c r="J73" s="1" t="s">
        <v>716</v>
      </c>
      <c r="AB73" s="1">
        <v>1</v>
      </c>
      <c r="AC73" s="1" t="s">
        <v>114</v>
      </c>
    </row>
    <row r="74" spans="1:29" x14ac:dyDescent="0.2">
      <c r="J74" s="1" t="s">
        <v>717</v>
      </c>
      <c r="L74" s="23">
        <f>O78</f>
        <v>873438.72827321163</v>
      </c>
      <c r="AB74" s="1">
        <v>0</v>
      </c>
      <c r="AC74" s="1" t="s">
        <v>115</v>
      </c>
    </row>
    <row r="75" spans="1:29" x14ac:dyDescent="0.2">
      <c r="J75" s="1" t="s">
        <v>293</v>
      </c>
      <c r="L75" s="51">
        <f>L71+L72+L74</f>
        <v>973438.72827321163</v>
      </c>
      <c r="O75" s="24">
        <v>7.0000000000000007E-2</v>
      </c>
      <c r="P75" s="1" t="s">
        <v>113</v>
      </c>
      <c r="AB75" s="23">
        <f>PV(AB72,AB73,AB74,AB76)</f>
        <v>-1028037.3831775701</v>
      </c>
      <c r="AC75" s="1" t="s">
        <v>116</v>
      </c>
    </row>
    <row r="76" spans="1:29" x14ac:dyDescent="0.2">
      <c r="O76" s="1">
        <v>2</v>
      </c>
      <c r="P76" s="1" t="s">
        <v>114</v>
      </c>
      <c r="AB76" s="23">
        <v>1100000</v>
      </c>
      <c r="AC76" s="1" t="s">
        <v>117</v>
      </c>
    </row>
    <row r="77" spans="1:29" x14ac:dyDescent="0.2">
      <c r="O77" s="1">
        <v>0</v>
      </c>
      <c r="P77" s="1" t="s">
        <v>115</v>
      </c>
    </row>
    <row r="78" spans="1:29" x14ac:dyDescent="0.2">
      <c r="O78" s="23">
        <f>PV(O75,O76,O77,O79)</f>
        <v>873438.72827321163</v>
      </c>
      <c r="P78" s="1" t="s">
        <v>116</v>
      </c>
    </row>
    <row r="79" spans="1:29" x14ac:dyDescent="0.2">
      <c r="O79" s="23">
        <v>-1000000</v>
      </c>
      <c r="P79" s="1" t="s">
        <v>117</v>
      </c>
    </row>
    <row r="80" spans="1:29" x14ac:dyDescent="0.2">
      <c r="A80" s="99" t="s">
        <v>734</v>
      </c>
      <c r="B80" s="99"/>
      <c r="C80" s="99"/>
      <c r="D80" s="99"/>
      <c r="E80" s="99"/>
      <c r="F80" s="99"/>
      <c r="G80" s="99"/>
      <c r="H80" s="99"/>
    </row>
    <row r="81" spans="1:32" x14ac:dyDescent="0.2">
      <c r="A81" s="1" t="s">
        <v>735</v>
      </c>
    </row>
    <row r="82" spans="1:32" x14ac:dyDescent="0.2">
      <c r="A82" s="1" t="s">
        <v>736</v>
      </c>
      <c r="M82" s="19" t="s">
        <v>711</v>
      </c>
      <c r="N82" s="19" t="s">
        <v>711</v>
      </c>
      <c r="O82" s="69" t="s">
        <v>722</v>
      </c>
      <c r="P82" s="19" t="s">
        <v>711</v>
      </c>
      <c r="Q82" s="19" t="s">
        <v>711</v>
      </c>
      <c r="R82" s="69" t="s">
        <v>722</v>
      </c>
      <c r="U82" s="69" t="s">
        <v>722</v>
      </c>
      <c r="X82" s="69" t="s">
        <v>722</v>
      </c>
      <c r="AA82" s="69" t="s">
        <v>722</v>
      </c>
      <c r="AD82" s="69" t="s">
        <v>722</v>
      </c>
      <c r="AF82" s="69" t="s">
        <v>722</v>
      </c>
    </row>
    <row r="83" spans="1:32" x14ac:dyDescent="0.2">
      <c r="A83" s="1" t="s">
        <v>737</v>
      </c>
      <c r="L83" s="19" t="s">
        <v>711</v>
      </c>
      <c r="M83" s="19" t="s">
        <v>723</v>
      </c>
      <c r="N83" s="19" t="s">
        <v>724</v>
      </c>
      <c r="O83" s="19" t="s">
        <v>725</v>
      </c>
      <c r="P83" s="19" t="s">
        <v>723</v>
      </c>
      <c r="Q83" s="19" t="s">
        <v>724</v>
      </c>
      <c r="R83" s="19" t="s">
        <v>725</v>
      </c>
      <c r="S83" s="19" t="s">
        <v>658</v>
      </c>
      <c r="T83" s="19" t="s">
        <v>724</v>
      </c>
      <c r="U83" s="19" t="s">
        <v>725</v>
      </c>
      <c r="V83" s="19" t="s">
        <v>658</v>
      </c>
      <c r="W83" s="19" t="s">
        <v>724</v>
      </c>
      <c r="X83" s="19" t="s">
        <v>725</v>
      </c>
      <c r="Y83" s="19" t="s">
        <v>658</v>
      </c>
      <c r="Z83" s="19" t="s">
        <v>724</v>
      </c>
      <c r="AA83" s="19" t="s">
        <v>725</v>
      </c>
      <c r="AB83" s="19" t="s">
        <v>658</v>
      </c>
      <c r="AC83" s="19" t="s">
        <v>724</v>
      </c>
      <c r="AD83" s="19" t="s">
        <v>725</v>
      </c>
      <c r="AE83" s="19" t="s">
        <v>332</v>
      </c>
      <c r="AF83" s="19" t="s">
        <v>752</v>
      </c>
    </row>
    <row r="84" spans="1:32" x14ac:dyDescent="0.2">
      <c r="A84" s="1" t="s">
        <v>751</v>
      </c>
      <c r="L84" s="36">
        <v>42005</v>
      </c>
      <c r="M84" s="36">
        <v>42369</v>
      </c>
      <c r="N84" s="36">
        <v>42369</v>
      </c>
      <c r="O84" s="36">
        <v>42369</v>
      </c>
      <c r="P84" s="36">
        <v>42735</v>
      </c>
      <c r="Q84" s="36">
        <v>42735</v>
      </c>
      <c r="R84" s="36">
        <v>42735</v>
      </c>
      <c r="S84" s="36">
        <v>43100</v>
      </c>
      <c r="T84" s="36">
        <v>43100</v>
      </c>
      <c r="U84" s="36">
        <v>43100</v>
      </c>
      <c r="V84" s="36">
        <v>43465</v>
      </c>
      <c r="W84" s="36">
        <v>43465</v>
      </c>
      <c r="X84" s="36">
        <v>43465</v>
      </c>
      <c r="Y84" s="36">
        <v>43830</v>
      </c>
      <c r="Z84" s="36">
        <v>43830</v>
      </c>
      <c r="AA84" s="36">
        <v>43830</v>
      </c>
      <c r="AB84" s="36">
        <v>44196</v>
      </c>
      <c r="AC84" s="36">
        <v>44196</v>
      </c>
      <c r="AD84" s="36">
        <v>44196</v>
      </c>
      <c r="AE84" s="36">
        <v>44287</v>
      </c>
      <c r="AF84" s="36">
        <v>44561</v>
      </c>
    </row>
    <row r="85" spans="1:32" x14ac:dyDescent="0.2">
      <c r="A85" s="1" t="s">
        <v>738</v>
      </c>
      <c r="J85" s="1" t="s">
        <v>719</v>
      </c>
      <c r="L85" s="38">
        <v>100000</v>
      </c>
      <c r="M85" s="38">
        <f>L85</f>
        <v>100000</v>
      </c>
      <c r="N85" s="38">
        <f>N88</f>
        <v>95000</v>
      </c>
      <c r="O85" s="38">
        <f>O88</f>
        <v>140000</v>
      </c>
      <c r="P85" s="38">
        <f>O85</f>
        <v>140000</v>
      </c>
      <c r="Q85" s="38">
        <f>Q88</f>
        <v>132631.57894736843</v>
      </c>
      <c r="R85" s="38">
        <f>R88</f>
        <v>150000</v>
      </c>
      <c r="S85" s="38">
        <f>R85</f>
        <v>150000</v>
      </c>
      <c r="T85" s="38">
        <f>T88</f>
        <v>141666.66666666666</v>
      </c>
      <c r="U85" s="38">
        <f>U88</f>
        <v>100000</v>
      </c>
      <c r="V85" s="38">
        <f>U85</f>
        <v>100000</v>
      </c>
      <c r="W85" s="38">
        <f>W88</f>
        <v>94117.647058823524</v>
      </c>
      <c r="X85" s="38">
        <f>X88-X87</f>
        <v>73415.892672858608</v>
      </c>
      <c r="Y85" s="38">
        <f>X85</f>
        <v>73415.892672858608</v>
      </c>
      <c r="Z85" s="38">
        <f>Z88-Z87</f>
        <v>68827.399380804942</v>
      </c>
      <c r="AA85" s="38">
        <f>AA88-AA87-AA86</f>
        <v>68827.399380804942</v>
      </c>
      <c r="AB85" s="38">
        <f>AA85</f>
        <v>68827.399380804942</v>
      </c>
      <c r="AC85" s="38">
        <f>AC88-AC87-AC86</f>
        <v>64238.906088751275</v>
      </c>
      <c r="AD85" s="38">
        <f>AD88</f>
        <v>98000</v>
      </c>
      <c r="AE85" s="38">
        <f>AD85</f>
        <v>98000</v>
      </c>
      <c r="AF85" s="38">
        <v>0</v>
      </c>
    </row>
    <row r="86" spans="1:32" x14ac:dyDescent="0.2">
      <c r="A86" s="1" t="s">
        <v>739</v>
      </c>
      <c r="J86" s="1" t="s">
        <v>96</v>
      </c>
      <c r="L86" s="19">
        <v>0</v>
      </c>
      <c r="M86" s="21">
        <f>-M90</f>
        <v>-5000</v>
      </c>
      <c r="N86" s="21">
        <v>0</v>
      </c>
      <c r="O86" s="21">
        <v>0</v>
      </c>
      <c r="P86" s="21">
        <f>-P90</f>
        <v>-7368.4210526315792</v>
      </c>
      <c r="Q86" s="21">
        <v>0</v>
      </c>
      <c r="R86" s="21">
        <v>0</v>
      </c>
      <c r="S86" s="21">
        <f>-S90</f>
        <v>-8333.3333333333339</v>
      </c>
      <c r="T86" s="21">
        <v>0</v>
      </c>
      <c r="U86" s="21">
        <v>0</v>
      </c>
      <c r="V86" s="21">
        <f>-V90</f>
        <v>-5882.3529411764703</v>
      </c>
      <c r="W86" s="21">
        <v>0</v>
      </c>
      <c r="X86" s="21">
        <v>0</v>
      </c>
      <c r="Y86" s="21">
        <f>-Y90+X87/16</f>
        <v>-4588.493292053663</v>
      </c>
      <c r="Z86" s="21">
        <v>0</v>
      </c>
      <c r="AA86" s="21">
        <v>0</v>
      </c>
      <c r="AB86" s="21">
        <f>-AB90+AA87/15</f>
        <v>-4588.493292053663</v>
      </c>
      <c r="AC86" s="21">
        <v>0</v>
      </c>
      <c r="AD86" s="21">
        <v>0</v>
      </c>
      <c r="AE86" s="21">
        <f>-AE90</f>
        <v>-1750</v>
      </c>
      <c r="AF86" s="21">
        <v>0</v>
      </c>
    </row>
    <row r="87" spans="1:32" x14ac:dyDescent="0.2">
      <c r="A87" s="1" t="s">
        <v>740</v>
      </c>
      <c r="J87" s="1" t="s">
        <v>718</v>
      </c>
      <c r="L87" s="19">
        <v>0</v>
      </c>
      <c r="M87" s="19">
        <v>0</v>
      </c>
      <c r="N87" s="19">
        <v>0</v>
      </c>
      <c r="O87" s="19">
        <v>0</v>
      </c>
      <c r="P87" s="19">
        <v>0</v>
      </c>
      <c r="Q87" s="19">
        <v>0</v>
      </c>
      <c r="R87" s="21">
        <v>0</v>
      </c>
      <c r="S87" s="21">
        <v>0</v>
      </c>
      <c r="T87" s="21">
        <v>0</v>
      </c>
      <c r="U87" s="21">
        <v>0</v>
      </c>
      <c r="V87" s="21">
        <v>0</v>
      </c>
      <c r="W87" s="21">
        <v>0</v>
      </c>
      <c r="X87" s="21">
        <f>-X92</f>
        <v>-13415.892672858608</v>
      </c>
      <c r="Y87" s="21">
        <f>X87*15/16</f>
        <v>-12577.399380804945</v>
      </c>
      <c r="Z87" s="21">
        <f>Y87</f>
        <v>-12577.399380804945</v>
      </c>
      <c r="AA87" s="21">
        <f>Z87-AA92</f>
        <v>-28827.399380804945</v>
      </c>
      <c r="AB87" s="21">
        <f>AA87*14/15</f>
        <v>-26905.57275541795</v>
      </c>
      <c r="AC87" s="21">
        <f>AB87</f>
        <v>-26905.57275541795</v>
      </c>
      <c r="AD87" s="21">
        <v>0</v>
      </c>
      <c r="AE87" s="21">
        <v>0</v>
      </c>
      <c r="AF87" s="21">
        <v>0</v>
      </c>
    </row>
    <row r="88" spans="1:32" x14ac:dyDescent="0.2">
      <c r="A88" s="1" t="s">
        <v>741</v>
      </c>
      <c r="J88" s="1" t="s">
        <v>99</v>
      </c>
      <c r="L88" s="39">
        <f>L85</f>
        <v>100000</v>
      </c>
      <c r="M88" s="39">
        <f>M85+M86</f>
        <v>95000</v>
      </c>
      <c r="N88" s="39">
        <f>M88</f>
        <v>95000</v>
      </c>
      <c r="O88" s="39">
        <f>B97</f>
        <v>140000</v>
      </c>
      <c r="P88" s="39">
        <f>P85+P86</f>
        <v>132631.57894736843</v>
      </c>
      <c r="Q88" s="39">
        <f>P88</f>
        <v>132631.57894736843</v>
      </c>
      <c r="R88" s="39">
        <f>B98</f>
        <v>150000</v>
      </c>
      <c r="S88" s="39">
        <f>S85+S86</f>
        <v>141666.66666666666</v>
      </c>
      <c r="T88" s="39">
        <f>S88</f>
        <v>141666.66666666666</v>
      </c>
      <c r="U88" s="39">
        <f>B99</f>
        <v>100000</v>
      </c>
      <c r="V88" s="39">
        <f>V85+V86</f>
        <v>94117.647058823524</v>
      </c>
      <c r="W88" s="39">
        <f>V88</f>
        <v>94117.647058823524</v>
      </c>
      <c r="X88" s="39">
        <f>B100</f>
        <v>60000</v>
      </c>
      <c r="Y88" s="39">
        <f>Y85+Y86+Y87</f>
        <v>56250</v>
      </c>
      <c r="Z88" s="39">
        <f>Y88</f>
        <v>56250</v>
      </c>
      <c r="AA88" s="39">
        <f>B101</f>
        <v>40000</v>
      </c>
      <c r="AB88" s="39">
        <f>AB85+AB86+AB87</f>
        <v>37333.333333333328</v>
      </c>
      <c r="AC88" s="39">
        <f>AB88</f>
        <v>37333.333333333328</v>
      </c>
      <c r="AD88" s="39">
        <f>B102</f>
        <v>98000</v>
      </c>
      <c r="AE88" s="39">
        <f>AE85+AE86</f>
        <v>96250</v>
      </c>
      <c r="AF88" s="39">
        <v>0</v>
      </c>
    </row>
    <row r="89" spans="1:32" x14ac:dyDescent="0.2">
      <c r="A89" s="1" t="s">
        <v>742</v>
      </c>
      <c r="L89" s="19"/>
      <c r="M89" s="19"/>
      <c r="N89" s="19"/>
      <c r="O89" s="19"/>
      <c r="P89" s="19"/>
      <c r="Q89" s="19"/>
      <c r="R89" s="19"/>
      <c r="S89" s="19"/>
      <c r="T89" s="19"/>
      <c r="U89" s="19"/>
      <c r="V89" s="19"/>
      <c r="W89" s="19"/>
      <c r="X89" s="19"/>
      <c r="Y89" s="19"/>
      <c r="Z89" s="19"/>
      <c r="AA89" s="19"/>
      <c r="AB89" s="19"/>
      <c r="AC89" s="19"/>
      <c r="AD89" s="19"/>
      <c r="AE89" s="19"/>
      <c r="AF89" s="19"/>
    </row>
    <row r="90" spans="1:32" x14ac:dyDescent="0.2">
      <c r="A90" s="1" t="s">
        <v>743</v>
      </c>
      <c r="J90" s="1" t="s">
        <v>100</v>
      </c>
      <c r="L90" s="19"/>
      <c r="M90" s="38">
        <f>L88/20</f>
        <v>5000</v>
      </c>
      <c r="N90" s="38">
        <f>M90</f>
        <v>5000</v>
      </c>
      <c r="O90" s="38">
        <f>N90</f>
        <v>5000</v>
      </c>
      <c r="P90" s="38">
        <f>O88/19</f>
        <v>7368.4210526315792</v>
      </c>
      <c r="Q90" s="38">
        <f>P90</f>
        <v>7368.4210526315792</v>
      </c>
      <c r="R90" s="38">
        <f>Q90</f>
        <v>7368.4210526315792</v>
      </c>
      <c r="S90" s="38">
        <f>R88/18</f>
        <v>8333.3333333333339</v>
      </c>
      <c r="T90" s="38">
        <f>S90</f>
        <v>8333.3333333333339</v>
      </c>
      <c r="U90" s="38">
        <f>T90</f>
        <v>8333.3333333333339</v>
      </c>
      <c r="V90" s="38">
        <f>U88/17</f>
        <v>5882.3529411764703</v>
      </c>
      <c r="W90" s="38">
        <f>V90</f>
        <v>5882.3529411764703</v>
      </c>
      <c r="X90" s="38">
        <f>W90</f>
        <v>5882.3529411764703</v>
      </c>
      <c r="Y90" s="38">
        <f>X88/16</f>
        <v>3750</v>
      </c>
      <c r="Z90" s="38">
        <f>Y90</f>
        <v>3750</v>
      </c>
      <c r="AA90" s="38">
        <f>Z90</f>
        <v>3750</v>
      </c>
      <c r="AB90" s="38">
        <f>AA88/15</f>
        <v>2666.6666666666665</v>
      </c>
      <c r="AC90" s="38">
        <f>AB90</f>
        <v>2666.6666666666665</v>
      </c>
      <c r="AD90" s="38">
        <f>AC90</f>
        <v>2666.6666666666665</v>
      </c>
      <c r="AE90" s="38">
        <f>AD88/14*3/12</f>
        <v>1750</v>
      </c>
      <c r="AF90" s="38">
        <f>AE90</f>
        <v>1750</v>
      </c>
    </row>
    <row r="91" spans="1:32" x14ac:dyDescent="0.2">
      <c r="A91" s="1" t="s">
        <v>744</v>
      </c>
      <c r="J91" s="1" t="s">
        <v>726</v>
      </c>
      <c r="L91" s="19"/>
      <c r="M91" s="38"/>
      <c r="N91" s="38"/>
      <c r="O91" s="38"/>
      <c r="P91" s="38"/>
      <c r="Q91" s="38"/>
      <c r="R91" s="38"/>
      <c r="S91" s="38"/>
      <c r="T91" s="38"/>
      <c r="U91" s="38"/>
      <c r="V91" s="38"/>
      <c r="W91" s="38"/>
      <c r="X91" s="38"/>
      <c r="Y91" s="38"/>
      <c r="Z91" s="38"/>
      <c r="AA91" s="38"/>
      <c r="AB91" s="38"/>
      <c r="AC91" s="38"/>
      <c r="AD91" s="38">
        <f>-AC87</f>
        <v>26905.57275541795</v>
      </c>
      <c r="AE91" s="38"/>
      <c r="AF91" s="38"/>
    </row>
    <row r="92" spans="1:32" x14ac:dyDescent="0.2">
      <c r="A92" s="1" t="s">
        <v>745</v>
      </c>
      <c r="J92" s="1" t="s">
        <v>727</v>
      </c>
      <c r="L92" s="19"/>
      <c r="M92" s="38"/>
      <c r="N92" s="38"/>
      <c r="O92" s="38"/>
      <c r="P92" s="38"/>
      <c r="Q92" s="38"/>
      <c r="R92" s="38"/>
      <c r="S92" s="38"/>
      <c r="T92" s="38"/>
      <c r="U92" s="38"/>
      <c r="V92" s="38"/>
      <c r="W92" s="38"/>
      <c r="X92" s="38">
        <f>W88-X88-X98</f>
        <v>13415.892672858608</v>
      </c>
      <c r="Y92" s="38"/>
      <c r="Z92" s="38"/>
      <c r="AA92" s="38">
        <f>Z88-AA88</f>
        <v>16250</v>
      </c>
      <c r="AB92" s="38"/>
      <c r="AC92" s="38"/>
      <c r="AD92" s="38"/>
      <c r="AE92" s="38"/>
      <c r="AF92" s="38"/>
    </row>
    <row r="93" spans="1:32" x14ac:dyDescent="0.2">
      <c r="L93" s="19"/>
      <c r="M93" s="38"/>
      <c r="N93" s="38"/>
      <c r="O93" s="38"/>
      <c r="P93" s="38"/>
      <c r="Q93" s="38"/>
      <c r="R93" s="38"/>
      <c r="S93" s="100"/>
      <c r="T93" s="100"/>
      <c r="U93" s="100"/>
      <c r="V93" s="100"/>
      <c r="W93" s="100"/>
      <c r="X93" s="100"/>
      <c r="Y93" s="100"/>
      <c r="Z93" s="100"/>
      <c r="AA93" s="100"/>
      <c r="AB93" s="100"/>
      <c r="AC93" s="100"/>
      <c r="AD93" s="100"/>
      <c r="AE93" s="100"/>
      <c r="AF93" s="100"/>
    </row>
    <row r="94" spans="1:32" x14ac:dyDescent="0.2">
      <c r="A94" s="1" t="s">
        <v>746</v>
      </c>
      <c r="J94" s="1" t="s">
        <v>753</v>
      </c>
      <c r="L94" s="19"/>
      <c r="M94" s="38"/>
      <c r="N94" s="38"/>
      <c r="O94" s="38"/>
      <c r="P94" s="38"/>
      <c r="Q94" s="38"/>
      <c r="R94" s="38"/>
      <c r="S94" s="38"/>
      <c r="T94" s="38"/>
      <c r="U94" s="38"/>
      <c r="V94" s="38"/>
      <c r="W94" s="38"/>
      <c r="X94" s="38"/>
      <c r="Y94" s="38"/>
      <c r="Z94" s="38"/>
      <c r="AA94" s="38"/>
      <c r="AB94" s="38"/>
      <c r="AC94" s="38"/>
      <c r="AD94" s="38"/>
      <c r="AE94" s="38"/>
      <c r="AF94" s="38">
        <f>106000-AE88</f>
        <v>9750</v>
      </c>
    </row>
    <row r="95" spans="1:32" x14ac:dyDescent="0.2">
      <c r="X95" s="19"/>
    </row>
    <row r="96" spans="1:32" x14ac:dyDescent="0.2">
      <c r="A96" s="94" t="s">
        <v>656</v>
      </c>
      <c r="B96" s="94" t="s">
        <v>747</v>
      </c>
      <c r="X96" s="19"/>
    </row>
    <row r="97" spans="1:32" x14ac:dyDescent="0.2">
      <c r="A97" s="35">
        <v>42369</v>
      </c>
      <c r="B97" s="23">
        <v>140000</v>
      </c>
      <c r="J97" s="1" t="s">
        <v>661</v>
      </c>
      <c r="L97" s="19"/>
      <c r="M97" s="38"/>
      <c r="N97" s="38"/>
      <c r="O97" s="38">
        <f>O88-N88</f>
        <v>45000</v>
      </c>
      <c r="P97" s="38"/>
      <c r="Q97" s="38"/>
      <c r="R97" s="38">
        <f>R88-Q88</f>
        <v>17368.421052631573</v>
      </c>
      <c r="S97" s="38"/>
      <c r="T97" s="38"/>
      <c r="U97" s="38"/>
      <c r="V97" s="38"/>
      <c r="W97" s="38"/>
      <c r="X97" s="21"/>
      <c r="Y97" s="38"/>
      <c r="Z97" s="38"/>
      <c r="AA97" s="21"/>
      <c r="AB97" s="38"/>
      <c r="AC97" s="38"/>
      <c r="AD97" s="21">
        <f>AD88-AC88-AD91</f>
        <v>33761.093911248725</v>
      </c>
      <c r="AE97" s="38"/>
      <c r="AF97" s="21"/>
    </row>
    <row r="98" spans="1:32" x14ac:dyDescent="0.2">
      <c r="A98" s="35">
        <v>42735</v>
      </c>
      <c r="B98" s="23">
        <v>150000</v>
      </c>
      <c r="J98" s="1" t="s">
        <v>720</v>
      </c>
      <c r="L98" s="19"/>
      <c r="M98" s="38"/>
      <c r="N98" s="38"/>
      <c r="O98" s="38"/>
      <c r="P98" s="38"/>
      <c r="Q98" s="38"/>
      <c r="R98" s="21"/>
      <c r="S98" s="21"/>
      <c r="T98" s="21"/>
      <c r="U98" s="21">
        <f>T88-U88</f>
        <v>41666.666666666657</v>
      </c>
      <c r="V98" s="21"/>
      <c r="W98" s="21"/>
      <c r="X98" s="38">
        <f>W99</f>
        <v>20701.754385964916</v>
      </c>
      <c r="Y98" s="21"/>
      <c r="Z98" s="21"/>
      <c r="AB98" s="21"/>
      <c r="AC98" s="21"/>
      <c r="AE98" s="21"/>
    </row>
    <row r="99" spans="1:32" x14ac:dyDescent="0.2">
      <c r="A99" s="35">
        <v>43100</v>
      </c>
      <c r="B99" s="23">
        <v>100000</v>
      </c>
      <c r="J99" s="1" t="s">
        <v>721</v>
      </c>
      <c r="L99" s="19"/>
      <c r="M99" s="38"/>
      <c r="N99" s="38"/>
      <c r="O99" s="38">
        <f>O97</f>
        <v>45000</v>
      </c>
      <c r="P99" s="38">
        <f>O99</f>
        <v>45000</v>
      </c>
      <c r="Q99" s="38">
        <f>P99</f>
        <v>45000</v>
      </c>
      <c r="R99" s="38">
        <f>R97+Q99</f>
        <v>62368.421052631573</v>
      </c>
      <c r="S99" s="38">
        <f>R99</f>
        <v>62368.421052631573</v>
      </c>
      <c r="T99" s="38">
        <f>S99</f>
        <v>62368.421052631573</v>
      </c>
      <c r="U99" s="38">
        <f>T99-U98</f>
        <v>20701.754385964916</v>
      </c>
      <c r="V99" s="38">
        <f>U99</f>
        <v>20701.754385964916</v>
      </c>
      <c r="W99" s="38">
        <f>V99</f>
        <v>20701.754385964916</v>
      </c>
      <c r="X99" s="38">
        <v>0</v>
      </c>
      <c r="Y99" s="38"/>
      <c r="Z99" s="38"/>
      <c r="AA99" s="38"/>
      <c r="AB99" s="38"/>
      <c r="AC99" s="38"/>
      <c r="AD99" s="38">
        <f>AD97</f>
        <v>33761.093911248725</v>
      </c>
      <c r="AE99" s="38">
        <f>AD99</f>
        <v>33761.093911248725</v>
      </c>
      <c r="AF99" s="38">
        <v>0</v>
      </c>
    </row>
    <row r="100" spans="1:32" x14ac:dyDescent="0.2">
      <c r="A100" s="35">
        <v>43465</v>
      </c>
      <c r="B100" s="23">
        <v>60000</v>
      </c>
      <c r="L100" s="19"/>
      <c r="M100" s="38"/>
      <c r="N100" s="38"/>
      <c r="O100" s="38"/>
      <c r="P100" s="38"/>
      <c r="Q100" s="38"/>
      <c r="R100" s="38"/>
      <c r="S100" s="38"/>
      <c r="T100" s="38"/>
      <c r="U100" s="38"/>
      <c r="V100" s="38"/>
      <c r="W100" s="38"/>
      <c r="X100" s="38"/>
      <c r="Y100" s="38"/>
      <c r="Z100" s="38"/>
      <c r="AA100" s="38"/>
      <c r="AB100" s="38"/>
      <c r="AC100" s="38"/>
      <c r="AE100" s="38"/>
    </row>
    <row r="101" spans="1:32" x14ac:dyDescent="0.2">
      <c r="A101" s="35">
        <v>43830</v>
      </c>
      <c r="B101" s="23">
        <v>40000</v>
      </c>
      <c r="L101" s="38"/>
      <c r="M101" s="38"/>
      <c r="N101" s="38"/>
      <c r="O101" s="38"/>
      <c r="P101" s="38"/>
      <c r="Q101" s="38"/>
      <c r="R101" s="38"/>
      <c r="S101" s="38"/>
      <c r="T101" s="38"/>
      <c r="U101" s="38"/>
      <c r="V101" s="38"/>
      <c r="W101" s="38"/>
      <c r="X101" s="38"/>
      <c r="Y101" s="38"/>
      <c r="Z101" s="38"/>
      <c r="AA101" s="38"/>
      <c r="AB101" s="38"/>
      <c r="AC101" s="38"/>
    </row>
    <row r="102" spans="1:32" x14ac:dyDescent="0.2">
      <c r="A102" s="35">
        <v>44196</v>
      </c>
      <c r="B102" s="23">
        <v>98000</v>
      </c>
    </row>
    <row r="104" spans="1:32" x14ac:dyDescent="0.2">
      <c r="A104" s="1" t="s">
        <v>748</v>
      </c>
    </row>
    <row r="105" spans="1:32" x14ac:dyDescent="0.2">
      <c r="A105" s="1" t="s">
        <v>749</v>
      </c>
    </row>
    <row r="107" spans="1:32" x14ac:dyDescent="0.2">
      <c r="A107" s="1" t="s">
        <v>750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09DB5F-F629-C24B-A84A-92583FB80C1C}">
  <dimension ref="A1:P149"/>
  <sheetViews>
    <sheetView rightToLeft="1" zoomScale="160" zoomScaleNormal="160" workbookViewId="0">
      <pane xSplit="2" topLeftCell="C1" activePane="topRight" state="frozen"/>
      <selection activeCell="A65" sqref="A65"/>
      <selection pane="topRight" activeCell="D14" sqref="D14"/>
    </sheetView>
  </sheetViews>
  <sheetFormatPr baseColWidth="10" defaultRowHeight="16" x14ac:dyDescent="0.2"/>
  <sheetData>
    <row r="1" spans="1:8" s="1" customFormat="1" ht="18" x14ac:dyDescent="0.2">
      <c r="A1" s="101" t="s">
        <v>754</v>
      </c>
      <c r="B1" s="101"/>
      <c r="C1" s="101"/>
      <c r="D1" s="101"/>
      <c r="E1" s="101"/>
      <c r="F1" s="101"/>
      <c r="G1" s="101"/>
      <c r="H1" s="101"/>
    </row>
    <row r="2" spans="1:8" s="1" customFormat="1" x14ac:dyDescent="0.2">
      <c r="A2" s="2"/>
      <c r="B2" s="2"/>
      <c r="C2" s="2"/>
      <c r="D2" s="2"/>
      <c r="E2" s="2"/>
      <c r="F2" s="2"/>
      <c r="G2" s="2"/>
      <c r="H2" s="2"/>
    </row>
    <row r="3" spans="1:8" s="1" customFormat="1" x14ac:dyDescent="0.2">
      <c r="A3" s="98" t="s">
        <v>755</v>
      </c>
      <c r="B3" s="98"/>
      <c r="C3" s="98"/>
      <c r="D3" s="98"/>
      <c r="E3" s="98"/>
      <c r="F3" s="98"/>
      <c r="G3" s="98"/>
      <c r="H3" s="98"/>
    </row>
    <row r="4" spans="1:8" s="1" customFormat="1" x14ac:dyDescent="0.2">
      <c r="A4" s="98" t="s">
        <v>756</v>
      </c>
      <c r="B4" s="98"/>
      <c r="C4" s="98"/>
      <c r="D4" s="98"/>
      <c r="E4" s="98"/>
      <c r="F4" s="98"/>
      <c r="G4" s="98"/>
      <c r="H4" s="98"/>
    </row>
    <row r="5" spans="1:8" s="1" customFormat="1" x14ac:dyDescent="0.2">
      <c r="A5" s="98" t="s">
        <v>757</v>
      </c>
      <c r="B5" s="98"/>
      <c r="C5" s="98"/>
      <c r="D5" s="98"/>
      <c r="E5" s="98"/>
      <c r="F5" s="98"/>
      <c r="G5" s="98"/>
      <c r="H5" s="98"/>
    </row>
    <row r="6" spans="1:8" s="1" customFormat="1" x14ac:dyDescent="0.2">
      <c r="A6" s="98" t="s">
        <v>758</v>
      </c>
      <c r="B6" s="98"/>
      <c r="C6" s="98"/>
      <c r="D6" s="98"/>
      <c r="E6" s="98"/>
      <c r="F6" s="98"/>
      <c r="G6" s="98"/>
      <c r="H6" s="98"/>
    </row>
    <row r="7" spans="1:8" s="1" customFormat="1" x14ac:dyDescent="0.2">
      <c r="A7" s="2"/>
      <c r="B7" s="2"/>
      <c r="C7" s="2"/>
      <c r="D7" s="2"/>
      <c r="E7" s="2"/>
      <c r="F7" s="2"/>
      <c r="G7" s="2"/>
      <c r="H7" s="2"/>
    </row>
    <row r="8" spans="1:8" s="1" customFormat="1" x14ac:dyDescent="0.2">
      <c r="A8" s="2" t="s">
        <v>759</v>
      </c>
      <c r="B8" s="2"/>
      <c r="C8" s="2"/>
      <c r="D8" s="2"/>
      <c r="E8" s="2"/>
      <c r="F8" s="2"/>
      <c r="G8" s="2"/>
      <c r="H8" s="2"/>
    </row>
    <row r="9" spans="1:8" s="1" customFormat="1" x14ac:dyDescent="0.2">
      <c r="A9" s="2"/>
      <c r="B9" s="2" t="s">
        <v>760</v>
      </c>
      <c r="C9" s="2"/>
      <c r="D9" s="2"/>
      <c r="E9" s="2"/>
      <c r="F9" s="2"/>
      <c r="G9" s="2"/>
      <c r="H9" s="2"/>
    </row>
    <row r="10" spans="1:8" s="1" customFormat="1" x14ac:dyDescent="0.2">
      <c r="A10" s="2"/>
      <c r="B10" s="2" t="s">
        <v>761</v>
      </c>
      <c r="C10" s="2"/>
      <c r="D10" s="2"/>
      <c r="E10" s="2"/>
      <c r="F10" s="2"/>
      <c r="G10" s="2"/>
      <c r="H10" s="2"/>
    </row>
    <row r="11" spans="1:8" s="1" customFormat="1" x14ac:dyDescent="0.2">
      <c r="A11" s="2"/>
      <c r="B11" s="2"/>
      <c r="C11" s="2"/>
      <c r="D11" s="2"/>
      <c r="E11" s="2"/>
      <c r="F11" s="2"/>
      <c r="G11" s="2"/>
      <c r="H11" s="2"/>
    </row>
    <row r="12" spans="1:8" s="1" customFormat="1" x14ac:dyDescent="0.2">
      <c r="A12" s="2" t="s">
        <v>762</v>
      </c>
      <c r="B12" s="2"/>
      <c r="C12" s="2"/>
      <c r="D12" s="2"/>
      <c r="E12" s="2"/>
      <c r="F12" s="2"/>
      <c r="G12" s="2"/>
      <c r="H12" s="2"/>
    </row>
    <row r="13" spans="1:8" s="1" customFormat="1" x14ac:dyDescent="0.2">
      <c r="A13" s="2"/>
      <c r="B13" s="1" t="s">
        <v>763</v>
      </c>
      <c r="C13" s="2"/>
      <c r="D13" s="2"/>
      <c r="E13" s="2"/>
      <c r="F13" s="2"/>
      <c r="G13" s="2"/>
      <c r="H13" s="2"/>
    </row>
    <row r="14" spans="1:8" s="1" customFormat="1" x14ac:dyDescent="0.2">
      <c r="A14" s="2"/>
      <c r="B14" s="1" t="s">
        <v>764</v>
      </c>
      <c r="C14" s="2"/>
      <c r="D14" s="2"/>
      <c r="E14" s="2"/>
      <c r="F14" s="2"/>
      <c r="G14" s="2"/>
      <c r="H14" s="2"/>
    </row>
    <row r="15" spans="1:8" s="1" customFormat="1" x14ac:dyDescent="0.2">
      <c r="A15" s="2"/>
      <c r="B15" s="1" t="s">
        <v>765</v>
      </c>
      <c r="C15" s="2"/>
      <c r="D15" s="2"/>
      <c r="E15" s="2"/>
      <c r="F15" s="2"/>
      <c r="G15" s="2"/>
      <c r="H15" s="2"/>
    </row>
    <row r="16" spans="1:8" s="1" customFormat="1" x14ac:dyDescent="0.2">
      <c r="A16" s="2"/>
      <c r="B16" s="2"/>
      <c r="C16" s="2"/>
      <c r="D16" s="2"/>
      <c r="E16" s="2"/>
      <c r="F16" s="2"/>
      <c r="G16" s="2"/>
      <c r="H16" s="2"/>
    </row>
    <row r="17" spans="1:8" s="1" customFormat="1" x14ac:dyDescent="0.2">
      <c r="A17" s="2"/>
      <c r="B17" s="1" t="s">
        <v>766</v>
      </c>
      <c r="C17" s="2"/>
      <c r="D17" s="2"/>
      <c r="E17" s="2"/>
      <c r="F17" s="2"/>
      <c r="G17" s="2"/>
      <c r="H17" s="2"/>
    </row>
    <row r="18" spans="1:8" s="1" customFormat="1" x14ac:dyDescent="0.2">
      <c r="A18" s="2"/>
      <c r="B18" s="1" t="s">
        <v>767</v>
      </c>
      <c r="C18" s="2"/>
      <c r="D18" s="2"/>
      <c r="E18" s="2"/>
      <c r="F18" s="2"/>
      <c r="G18" s="2"/>
      <c r="H18" s="2"/>
    </row>
    <row r="19" spans="1:8" s="1" customFormat="1" x14ac:dyDescent="0.2">
      <c r="A19" s="2"/>
      <c r="B19" s="1" t="s">
        <v>768</v>
      </c>
      <c r="C19" s="2"/>
      <c r="D19" s="2"/>
      <c r="E19" s="2"/>
      <c r="F19" s="2"/>
      <c r="G19" s="2"/>
      <c r="H19" s="2"/>
    </row>
    <row r="20" spans="1:8" s="1" customFormat="1" x14ac:dyDescent="0.2">
      <c r="A20" s="2"/>
      <c r="B20" s="2"/>
      <c r="C20" s="2"/>
      <c r="D20" s="2"/>
      <c r="E20" s="2"/>
      <c r="F20" s="2"/>
      <c r="G20" s="2"/>
      <c r="H20" s="2"/>
    </row>
    <row r="21" spans="1:8" s="1" customFormat="1" x14ac:dyDescent="0.2">
      <c r="A21" s="2"/>
      <c r="B21" s="2" t="s">
        <v>769</v>
      </c>
      <c r="C21" s="2"/>
      <c r="D21" s="2"/>
      <c r="E21" s="2"/>
      <c r="F21" s="2"/>
      <c r="G21" s="2"/>
      <c r="H21" s="2"/>
    </row>
    <row r="22" spans="1:8" s="1" customFormat="1" x14ac:dyDescent="0.2">
      <c r="A22" s="2"/>
      <c r="B22" s="2" t="s">
        <v>770</v>
      </c>
      <c r="C22" s="2"/>
      <c r="D22" s="2"/>
      <c r="E22" s="2"/>
      <c r="F22" s="2"/>
      <c r="G22" s="2"/>
      <c r="H22" s="2"/>
    </row>
    <row r="23" spans="1:8" s="1" customFormat="1" x14ac:dyDescent="0.2">
      <c r="A23" s="2"/>
      <c r="B23" s="2"/>
      <c r="C23" s="2"/>
      <c r="D23" s="2"/>
      <c r="E23" s="2"/>
      <c r="F23" s="2"/>
      <c r="G23" s="2"/>
      <c r="H23" s="2"/>
    </row>
    <row r="24" spans="1:8" s="1" customFormat="1" x14ac:dyDescent="0.2">
      <c r="A24" s="2"/>
      <c r="B24" s="2" t="s">
        <v>771</v>
      </c>
      <c r="C24" s="2" t="s">
        <v>100</v>
      </c>
      <c r="D24" s="2"/>
      <c r="E24" s="102">
        <v>500000</v>
      </c>
      <c r="F24" s="2"/>
      <c r="G24" s="2" t="s">
        <v>772</v>
      </c>
      <c r="H24" s="2"/>
    </row>
    <row r="25" spans="1:8" s="1" customFormat="1" x14ac:dyDescent="0.2">
      <c r="A25" s="2"/>
      <c r="B25" s="2" t="s">
        <v>773</v>
      </c>
      <c r="C25" s="2" t="s">
        <v>100</v>
      </c>
      <c r="D25" s="2"/>
      <c r="E25" s="102">
        <f>14000000/19</f>
        <v>736842.10526315786</v>
      </c>
      <c r="F25" s="2"/>
      <c r="G25" s="2" t="s">
        <v>774</v>
      </c>
      <c r="H25" s="2"/>
    </row>
    <row r="26" spans="1:8" s="1" customFormat="1" x14ac:dyDescent="0.2">
      <c r="A26" s="2"/>
      <c r="B26" s="2" t="s">
        <v>775</v>
      </c>
      <c r="C26" s="2" t="s">
        <v>100</v>
      </c>
      <c r="D26" s="2"/>
      <c r="E26" s="102">
        <f>1000000</f>
        <v>1000000</v>
      </c>
      <c r="F26" s="2"/>
      <c r="G26" s="2" t="s">
        <v>776</v>
      </c>
      <c r="H26" s="2"/>
    </row>
    <row r="27" spans="1:8" s="1" customFormat="1" x14ac:dyDescent="0.2">
      <c r="A27" s="2"/>
      <c r="B27" s="2"/>
      <c r="C27" s="2"/>
      <c r="D27" s="2"/>
      <c r="E27" s="2"/>
      <c r="F27" s="2"/>
      <c r="G27" s="2"/>
      <c r="H27" s="2"/>
    </row>
    <row r="28" spans="1:8" s="1" customFormat="1" x14ac:dyDescent="0.2">
      <c r="A28" s="2"/>
      <c r="B28" s="2" t="s">
        <v>777</v>
      </c>
      <c r="C28" s="2"/>
      <c r="D28" s="2"/>
      <c r="E28" s="2"/>
      <c r="F28" s="2"/>
      <c r="G28" s="2"/>
      <c r="H28" s="2"/>
    </row>
    <row r="29" spans="1:8" s="1" customFormat="1" x14ac:dyDescent="0.2">
      <c r="A29" s="2"/>
      <c r="B29" s="2" t="s">
        <v>778</v>
      </c>
      <c r="C29" s="2"/>
      <c r="D29" s="2"/>
      <c r="E29" s="2"/>
      <c r="F29" s="2"/>
      <c r="G29" s="2"/>
      <c r="H29" s="2"/>
    </row>
    <row r="30" spans="1:8" s="1" customFormat="1" x14ac:dyDescent="0.2">
      <c r="A30" s="2"/>
      <c r="B30" s="2"/>
      <c r="C30" s="2"/>
      <c r="D30" s="2"/>
      <c r="E30" s="2"/>
      <c r="F30" s="2"/>
      <c r="G30" s="2"/>
      <c r="H30" s="2"/>
    </row>
    <row r="31" spans="1:8" s="1" customFormat="1" x14ac:dyDescent="0.2">
      <c r="A31" s="2"/>
      <c r="B31" s="2" t="s">
        <v>779</v>
      </c>
      <c r="C31" s="2"/>
      <c r="D31" s="2"/>
      <c r="E31" s="2"/>
      <c r="F31" s="2"/>
      <c r="G31" s="2"/>
      <c r="H31" s="2"/>
    </row>
    <row r="32" spans="1:8" s="1" customFormat="1" x14ac:dyDescent="0.2">
      <c r="A32" s="2"/>
      <c r="B32" s="2" t="s">
        <v>780</v>
      </c>
      <c r="C32" s="2"/>
      <c r="D32" s="2"/>
      <c r="E32" s="2"/>
      <c r="F32" s="2"/>
      <c r="G32" s="2"/>
      <c r="H32" s="2"/>
    </row>
    <row r="33" spans="1:8" s="1" customFormat="1" x14ac:dyDescent="0.2">
      <c r="A33" s="2"/>
      <c r="B33" s="2"/>
      <c r="C33" s="2"/>
      <c r="D33" s="2"/>
      <c r="E33" s="2"/>
      <c r="F33" s="2"/>
      <c r="G33" s="2"/>
      <c r="H33" s="2"/>
    </row>
    <row r="34" spans="1:8" s="1" customFormat="1" x14ac:dyDescent="0.2">
      <c r="A34" s="70" t="s">
        <v>781</v>
      </c>
      <c r="B34" s="70"/>
      <c r="C34" s="70"/>
      <c r="D34" s="70"/>
      <c r="E34" s="70"/>
      <c r="F34" s="70"/>
      <c r="G34" s="70"/>
      <c r="H34" s="70"/>
    </row>
    <row r="35" spans="1:8" s="1" customFormat="1" x14ac:dyDescent="0.2">
      <c r="A35" s="2"/>
      <c r="B35" s="2"/>
      <c r="C35" s="2"/>
      <c r="D35" s="2"/>
      <c r="E35" s="2"/>
      <c r="F35" s="2"/>
      <c r="G35" s="2"/>
      <c r="H35" s="2"/>
    </row>
    <row r="36" spans="1:8" s="1" customFormat="1" x14ac:dyDescent="0.2">
      <c r="A36" s="1" t="s">
        <v>782</v>
      </c>
    </row>
    <row r="37" spans="1:8" s="1" customFormat="1" x14ac:dyDescent="0.2">
      <c r="B37" s="1" t="s">
        <v>783</v>
      </c>
    </row>
    <row r="38" spans="1:8" s="1" customFormat="1" x14ac:dyDescent="0.2">
      <c r="B38" s="1" t="s">
        <v>784</v>
      </c>
    </row>
    <row r="39" spans="1:8" s="1" customFormat="1" x14ac:dyDescent="0.2">
      <c r="B39" s="1" t="s">
        <v>785</v>
      </c>
    </row>
    <row r="40" spans="1:8" s="1" customFormat="1" x14ac:dyDescent="0.2">
      <c r="B40" s="1" t="s">
        <v>786</v>
      </c>
    </row>
    <row r="41" spans="1:8" s="1" customFormat="1" x14ac:dyDescent="0.2"/>
    <row r="42" spans="1:8" s="1" customFormat="1" x14ac:dyDescent="0.2">
      <c r="A42" s="2" t="s">
        <v>787</v>
      </c>
    </row>
    <row r="43" spans="1:8" s="1" customFormat="1" x14ac:dyDescent="0.2">
      <c r="A43" s="1" t="s">
        <v>788</v>
      </c>
      <c r="B43"/>
    </row>
    <row r="44" spans="1:8" s="1" customFormat="1" x14ac:dyDescent="0.2">
      <c r="A44" s="1" t="s">
        <v>789</v>
      </c>
    </row>
    <row r="45" spans="1:8" s="1" customFormat="1" x14ac:dyDescent="0.2">
      <c r="A45" s="1" t="s">
        <v>790</v>
      </c>
    </row>
    <row r="46" spans="1:8" s="1" customFormat="1" x14ac:dyDescent="0.2">
      <c r="A46" s="1" t="s">
        <v>791</v>
      </c>
    </row>
    <row r="47" spans="1:8" s="1" customFormat="1" x14ac:dyDescent="0.2">
      <c r="A47" s="1" t="s">
        <v>792</v>
      </c>
    </row>
    <row r="48" spans="1:8" s="1" customFormat="1" x14ac:dyDescent="0.2">
      <c r="A48" s="1" t="s">
        <v>793</v>
      </c>
    </row>
    <row r="49" spans="1:9" s="1" customFormat="1" x14ac:dyDescent="0.2">
      <c r="A49" s="1" t="s">
        <v>794</v>
      </c>
    </row>
    <row r="50" spans="1:9" s="1" customFormat="1" x14ac:dyDescent="0.2">
      <c r="A50" s="104" t="s">
        <v>795</v>
      </c>
    </row>
    <row r="51" spans="1:9" s="1" customFormat="1" x14ac:dyDescent="0.2">
      <c r="A51" s="1" t="s">
        <v>796</v>
      </c>
    </row>
    <row r="52" spans="1:9" s="1" customFormat="1" x14ac:dyDescent="0.2">
      <c r="A52" s="1" t="s">
        <v>797</v>
      </c>
    </row>
    <row r="53" spans="1:9" s="1" customFormat="1" x14ac:dyDescent="0.2"/>
    <row r="54" spans="1:9" s="1" customFormat="1" x14ac:dyDescent="0.2">
      <c r="A54" s="94" t="s">
        <v>656</v>
      </c>
      <c r="B54" s="94" t="s">
        <v>798</v>
      </c>
      <c r="D54" s="19" t="s">
        <v>152</v>
      </c>
      <c r="E54" s="1" t="s">
        <v>799</v>
      </c>
    </row>
    <row r="55" spans="1:9" s="1" customFormat="1" x14ac:dyDescent="0.2">
      <c r="A55" s="35">
        <v>43465</v>
      </c>
      <c r="B55" s="23">
        <v>70000</v>
      </c>
      <c r="E55" s="1" t="s">
        <v>800</v>
      </c>
    </row>
    <row r="56" spans="1:9" s="1" customFormat="1" x14ac:dyDescent="0.2">
      <c r="A56" s="35">
        <v>44196</v>
      </c>
      <c r="B56" s="23">
        <v>30000</v>
      </c>
      <c r="E56" s="1" t="s">
        <v>801</v>
      </c>
    </row>
    <row r="57" spans="1:9" s="1" customFormat="1" x14ac:dyDescent="0.2">
      <c r="A57" s="35">
        <v>44926</v>
      </c>
      <c r="B57" s="23">
        <v>80000</v>
      </c>
      <c r="E57" s="1" t="s">
        <v>802</v>
      </c>
    </row>
    <row r="58" spans="1:9" s="1" customFormat="1" x14ac:dyDescent="0.2">
      <c r="A58" s="35">
        <v>45657</v>
      </c>
      <c r="B58" s="23">
        <v>35000</v>
      </c>
    </row>
    <row r="59" spans="1:9" s="1" customFormat="1" x14ac:dyDescent="0.2"/>
    <row r="60" spans="1:9" s="1" customFormat="1" x14ac:dyDescent="0.2">
      <c r="A60" s="1" t="s">
        <v>803</v>
      </c>
    </row>
    <row r="61" spans="1:9" s="1" customFormat="1" x14ac:dyDescent="0.2"/>
    <row r="62" spans="1:9" s="1" customFormat="1" x14ac:dyDescent="0.2">
      <c r="A62" s="2" t="s">
        <v>829</v>
      </c>
    </row>
    <row r="63" spans="1:9" s="1" customFormat="1" x14ac:dyDescent="0.2"/>
    <row r="64" spans="1:9" s="1" customFormat="1" x14ac:dyDescent="0.2">
      <c r="A64" s="1" t="s">
        <v>712</v>
      </c>
      <c r="B64" s="23">
        <v>50000</v>
      </c>
      <c r="C64" s="1" t="s">
        <v>830</v>
      </c>
      <c r="D64" s="1" t="s">
        <v>831</v>
      </c>
      <c r="E64" s="1" t="s">
        <v>832</v>
      </c>
      <c r="F64" s="1">
        <v>20</v>
      </c>
      <c r="G64" s="1" t="s">
        <v>833</v>
      </c>
      <c r="H64" s="1" t="s">
        <v>834</v>
      </c>
      <c r="I64" s="1" t="s">
        <v>835</v>
      </c>
    </row>
    <row r="65" spans="1:16" s="1" customFormat="1" x14ac:dyDescent="0.2">
      <c r="L65" s="23"/>
      <c r="M65" s="23"/>
    </row>
    <row r="66" spans="1:16" s="1" customFormat="1" x14ac:dyDescent="0.2">
      <c r="C66" s="108"/>
      <c r="D66" s="111" t="s">
        <v>658</v>
      </c>
      <c r="E66" s="108" t="s">
        <v>804</v>
      </c>
      <c r="F66" s="108"/>
      <c r="G66" s="47" t="s">
        <v>658</v>
      </c>
      <c r="H66" s="108" t="s">
        <v>804</v>
      </c>
      <c r="I66" s="111" t="s">
        <v>805</v>
      </c>
      <c r="J66" s="47" t="s">
        <v>658</v>
      </c>
      <c r="K66" s="107" t="s">
        <v>804</v>
      </c>
      <c r="L66" s="111" t="s">
        <v>805</v>
      </c>
      <c r="M66" s="111" t="s">
        <v>658</v>
      </c>
      <c r="N66" s="108" t="s">
        <v>804</v>
      </c>
      <c r="O66" s="111" t="s">
        <v>299</v>
      </c>
      <c r="P66" s="108" t="s">
        <v>806</v>
      </c>
    </row>
    <row r="67" spans="1:16" s="1" customFormat="1" x14ac:dyDescent="0.2">
      <c r="C67" s="109">
        <v>43100</v>
      </c>
      <c r="D67" s="112">
        <v>43465</v>
      </c>
      <c r="E67" s="109">
        <v>43465</v>
      </c>
      <c r="F67" s="109">
        <v>43830</v>
      </c>
      <c r="G67" s="48">
        <v>44196</v>
      </c>
      <c r="H67" s="109">
        <v>44196</v>
      </c>
      <c r="I67" s="112">
        <v>44561</v>
      </c>
      <c r="J67" s="112">
        <v>44926</v>
      </c>
      <c r="K67" s="109">
        <v>44926</v>
      </c>
      <c r="L67" s="112">
        <v>45291</v>
      </c>
      <c r="M67" s="112">
        <v>45657</v>
      </c>
      <c r="N67" s="109">
        <v>45657</v>
      </c>
      <c r="O67" s="112">
        <v>45809</v>
      </c>
      <c r="P67" s="109">
        <v>46022</v>
      </c>
    </row>
    <row r="68" spans="1:16" s="1" customFormat="1" x14ac:dyDescent="0.2">
      <c r="A68" s="1" t="s">
        <v>807</v>
      </c>
      <c r="C68" s="110">
        <v>50000</v>
      </c>
      <c r="D68" s="110">
        <f>C68</f>
        <v>50000</v>
      </c>
      <c r="E68" s="110">
        <f>E71</f>
        <v>70000</v>
      </c>
      <c r="F68" s="110">
        <f>E68</f>
        <v>70000</v>
      </c>
      <c r="G68" s="110">
        <f>F68</f>
        <v>70000</v>
      </c>
      <c r="H68" s="110">
        <f>H71+H70</f>
        <v>40000</v>
      </c>
      <c r="I68" s="110">
        <f>H68</f>
        <v>40000</v>
      </c>
      <c r="J68" s="110">
        <f>I68</f>
        <v>40000</v>
      </c>
      <c r="K68" s="110">
        <f>K71</f>
        <v>80000</v>
      </c>
      <c r="L68" s="110">
        <f>K68</f>
        <v>80000</v>
      </c>
      <c r="M68" s="110">
        <f>L68</f>
        <v>80000</v>
      </c>
      <c r="N68" s="110">
        <f>N71</f>
        <v>35000</v>
      </c>
      <c r="O68" s="110">
        <f>N68</f>
        <v>35000</v>
      </c>
      <c r="P68" s="111">
        <v>0</v>
      </c>
    </row>
    <row r="69" spans="1:16" s="1" customFormat="1" x14ac:dyDescent="0.2">
      <c r="A69" s="1" t="s">
        <v>96</v>
      </c>
      <c r="C69" s="110">
        <f>C73</f>
        <v>2500</v>
      </c>
      <c r="D69" s="110">
        <f>C69+D73</f>
        <v>5000</v>
      </c>
      <c r="E69" s="111">
        <v>0</v>
      </c>
      <c r="F69" s="110">
        <f>F73</f>
        <v>3888.8888888888887</v>
      </c>
      <c r="G69" s="110">
        <f>F69+G73</f>
        <v>7777.7777777777774</v>
      </c>
      <c r="H69" s="111">
        <v>0</v>
      </c>
      <c r="I69" s="110">
        <f>I73+H70/16</f>
        <v>2500</v>
      </c>
      <c r="J69" s="110">
        <f>I69+J73+H70/16</f>
        <v>5000</v>
      </c>
      <c r="K69" s="111">
        <v>0</v>
      </c>
      <c r="L69" s="110">
        <f>L73</f>
        <v>5714.2857142857147</v>
      </c>
      <c r="M69" s="110">
        <f>L69+M73</f>
        <v>11428.571428571429</v>
      </c>
      <c r="N69" s="111">
        <v>0</v>
      </c>
      <c r="O69" s="110">
        <f>O73</f>
        <v>1215.2777777777778</v>
      </c>
      <c r="P69" s="111">
        <v>0</v>
      </c>
    </row>
    <row r="70" spans="1:16" s="1" customFormat="1" x14ac:dyDescent="0.2">
      <c r="A70" s="1" t="s">
        <v>201</v>
      </c>
      <c r="C70" s="111"/>
      <c r="D70" s="106"/>
      <c r="E70" s="106"/>
      <c r="F70" s="111"/>
      <c r="G70" s="106"/>
      <c r="H70" s="110">
        <f>H75</f>
        <v>10000</v>
      </c>
      <c r="I70" s="110">
        <f>H70*15/16</f>
        <v>9375</v>
      </c>
      <c r="J70" s="110">
        <f>I70-H70/16</f>
        <v>8750</v>
      </c>
      <c r="K70" s="111">
        <v>0</v>
      </c>
      <c r="L70" s="47"/>
      <c r="M70" s="47"/>
      <c r="N70" s="105"/>
      <c r="O70" s="47"/>
      <c r="P70" s="111">
        <v>0</v>
      </c>
    </row>
    <row r="71" spans="1:16" s="1" customFormat="1" x14ac:dyDescent="0.2">
      <c r="A71" s="1" t="s">
        <v>99</v>
      </c>
      <c r="C71" s="110">
        <f>C68-C69</f>
        <v>47500</v>
      </c>
      <c r="D71" s="110">
        <f>D68-D69</f>
        <v>45000</v>
      </c>
      <c r="E71" s="110">
        <f>B55</f>
        <v>70000</v>
      </c>
      <c r="F71" s="110">
        <f>F68-F69</f>
        <v>66111.111111111109</v>
      </c>
      <c r="G71" s="110">
        <f>G68-G69</f>
        <v>62222.222222222219</v>
      </c>
      <c r="H71" s="110">
        <f>B56</f>
        <v>30000</v>
      </c>
      <c r="I71" s="110">
        <f>I68-I69-I70</f>
        <v>28125</v>
      </c>
      <c r="J71" s="110">
        <f>J68-J69-J70</f>
        <v>26250</v>
      </c>
      <c r="K71" s="110">
        <f>B57</f>
        <v>80000</v>
      </c>
      <c r="L71" s="110">
        <f>L68-L69</f>
        <v>74285.71428571429</v>
      </c>
      <c r="M71" s="110">
        <f>M68-M69</f>
        <v>68571.428571428565</v>
      </c>
      <c r="N71" s="110">
        <v>35000</v>
      </c>
      <c r="O71" s="110">
        <f>O68-O69</f>
        <v>33784.722222222219</v>
      </c>
      <c r="P71" s="111">
        <v>0</v>
      </c>
    </row>
    <row r="72" spans="1:16" s="1" customFormat="1" x14ac:dyDescent="0.2">
      <c r="C72" s="106"/>
      <c r="D72" s="106"/>
      <c r="E72" s="106"/>
      <c r="F72" s="106"/>
      <c r="G72" s="106"/>
      <c r="H72" s="106"/>
      <c r="I72" s="105"/>
      <c r="J72" s="105"/>
      <c r="K72" s="105"/>
      <c r="L72" s="105"/>
      <c r="M72" s="105"/>
      <c r="N72" s="105"/>
      <c r="O72" s="105"/>
      <c r="P72" s="105"/>
    </row>
    <row r="73" spans="1:16" s="1" customFormat="1" x14ac:dyDescent="0.2">
      <c r="A73" s="1" t="s">
        <v>808</v>
      </c>
      <c r="C73" s="110">
        <f>C68/20</f>
        <v>2500</v>
      </c>
      <c r="D73" s="110">
        <f>C73</f>
        <v>2500</v>
      </c>
      <c r="E73" s="110">
        <f>D73</f>
        <v>2500</v>
      </c>
      <c r="F73" s="110">
        <f>E71/18</f>
        <v>3888.8888888888887</v>
      </c>
      <c r="G73" s="110">
        <f>F73</f>
        <v>3888.8888888888887</v>
      </c>
      <c r="H73" s="110">
        <f>G73</f>
        <v>3888.8888888888887</v>
      </c>
      <c r="I73" s="110">
        <f>H71/16</f>
        <v>1875</v>
      </c>
      <c r="J73" s="110">
        <f>I73</f>
        <v>1875</v>
      </c>
      <c r="K73" s="110">
        <f>J73</f>
        <v>1875</v>
      </c>
      <c r="L73" s="110">
        <f>K71/14</f>
        <v>5714.2857142857147</v>
      </c>
      <c r="M73" s="110">
        <f>L73</f>
        <v>5714.2857142857147</v>
      </c>
      <c r="N73" s="110">
        <f>M73</f>
        <v>5714.2857142857147</v>
      </c>
      <c r="O73" s="110">
        <f>N71/12*(5/12)</f>
        <v>1215.2777777777778</v>
      </c>
      <c r="P73" s="110">
        <f>O73</f>
        <v>1215.2777777777778</v>
      </c>
    </row>
    <row r="74" spans="1:16" s="1" customFormat="1" x14ac:dyDescent="0.2">
      <c r="C74" s="106"/>
      <c r="D74" s="106"/>
      <c r="E74" s="106"/>
      <c r="F74" s="111"/>
      <c r="G74" s="106"/>
      <c r="H74" s="106"/>
      <c r="I74" s="105"/>
      <c r="J74" s="105"/>
      <c r="K74" s="105"/>
      <c r="L74" s="105"/>
      <c r="M74" s="105"/>
      <c r="N74" s="105"/>
      <c r="O74" s="47"/>
      <c r="P74" s="105"/>
    </row>
    <row r="75" spans="1:16" s="1" customFormat="1" x14ac:dyDescent="0.2">
      <c r="A75" s="1" t="s">
        <v>136</v>
      </c>
      <c r="C75" s="106"/>
      <c r="D75" s="106"/>
      <c r="E75" s="106"/>
      <c r="F75" s="111"/>
      <c r="G75" s="106"/>
      <c r="H75" s="110">
        <f>G71-H71-H79</f>
        <v>10000</v>
      </c>
      <c r="I75" s="47"/>
      <c r="J75" s="47"/>
      <c r="K75" s="105"/>
      <c r="L75" s="105"/>
      <c r="M75" s="105"/>
      <c r="N75" s="105"/>
      <c r="O75" s="47"/>
      <c r="P75" s="47"/>
    </row>
    <row r="76" spans="1:16" s="1" customFormat="1" x14ac:dyDescent="0.2">
      <c r="A76" s="1" t="s">
        <v>809</v>
      </c>
      <c r="C76" s="106"/>
      <c r="D76" s="106"/>
      <c r="E76" s="106"/>
      <c r="F76" s="111"/>
      <c r="G76" s="106"/>
      <c r="H76" s="106"/>
      <c r="I76" s="105"/>
      <c r="J76" s="47"/>
      <c r="K76" s="110">
        <f>J70</f>
        <v>8750</v>
      </c>
      <c r="L76" s="105"/>
      <c r="M76" s="105"/>
      <c r="N76" s="105"/>
      <c r="O76" s="47"/>
      <c r="P76" s="47"/>
    </row>
    <row r="77" spans="1:16" s="1" customFormat="1" x14ac:dyDescent="0.2">
      <c r="C77" s="106"/>
      <c r="D77" s="106"/>
      <c r="E77" s="106"/>
      <c r="F77" s="111"/>
      <c r="G77" s="106"/>
      <c r="H77" s="106"/>
      <c r="I77" s="47"/>
      <c r="J77" s="47"/>
      <c r="K77" s="105"/>
      <c r="L77" s="105"/>
      <c r="M77" s="105"/>
      <c r="N77" s="105"/>
      <c r="O77" s="47"/>
      <c r="P77" s="47"/>
    </row>
    <row r="78" spans="1:16" s="1" customFormat="1" x14ac:dyDescent="0.2">
      <c r="A78" s="1" t="s">
        <v>661</v>
      </c>
      <c r="C78" s="106"/>
      <c r="D78" s="106"/>
      <c r="E78" s="110">
        <f>E71-D71</f>
        <v>25000</v>
      </c>
      <c r="F78" s="111"/>
      <c r="G78" s="106"/>
      <c r="H78" s="106"/>
      <c r="I78" s="47"/>
      <c r="J78" s="47"/>
      <c r="K78" s="110">
        <f>K71-J71-K76</f>
        <v>45000</v>
      </c>
      <c r="L78" s="105"/>
      <c r="M78" s="105"/>
      <c r="N78" s="105"/>
      <c r="O78" s="47"/>
      <c r="P78" s="47"/>
    </row>
    <row r="79" spans="1:16" s="1" customFormat="1" x14ac:dyDescent="0.2">
      <c r="A79" s="1" t="s">
        <v>720</v>
      </c>
      <c r="C79" s="106"/>
      <c r="D79" s="106"/>
      <c r="E79" s="106"/>
      <c r="F79" s="111"/>
      <c r="G79" s="106"/>
      <c r="H79" s="110">
        <f>G81</f>
        <v>22222.222222222219</v>
      </c>
      <c r="I79" s="47"/>
      <c r="J79" s="47"/>
      <c r="K79" s="47"/>
      <c r="L79" s="105"/>
      <c r="M79" s="105"/>
      <c r="N79" s="110">
        <f>M71-N71</f>
        <v>33571.428571428565</v>
      </c>
      <c r="O79" s="47"/>
      <c r="P79" s="47"/>
    </row>
    <row r="80" spans="1:16" s="1" customFormat="1" x14ac:dyDescent="0.2">
      <c r="C80" s="106"/>
      <c r="D80" s="106"/>
      <c r="E80" s="106"/>
      <c r="F80" s="111"/>
      <c r="G80" s="106"/>
      <c r="H80" s="106"/>
      <c r="I80" s="47"/>
      <c r="J80" s="47"/>
      <c r="K80" s="47"/>
      <c r="L80" s="105"/>
      <c r="M80" s="105"/>
      <c r="N80" s="105"/>
      <c r="O80" s="47"/>
      <c r="P80" s="105"/>
    </row>
    <row r="81" spans="1:16" s="1" customFormat="1" x14ac:dyDescent="0.2">
      <c r="A81" s="1" t="s">
        <v>721</v>
      </c>
      <c r="C81" s="106"/>
      <c r="D81" s="106"/>
      <c r="E81" s="110">
        <f>E78</f>
        <v>25000</v>
      </c>
      <c r="F81" s="110">
        <f>E81-F83</f>
        <v>23611.111111111109</v>
      </c>
      <c r="G81" s="110">
        <f>F81-G83</f>
        <v>22222.222222222219</v>
      </c>
      <c r="H81" s="111">
        <v>0</v>
      </c>
      <c r="I81" s="47"/>
      <c r="J81" s="47"/>
      <c r="K81" s="110">
        <f>K78</f>
        <v>45000</v>
      </c>
      <c r="L81" s="110">
        <f>K81-L83</f>
        <v>41785.714285714283</v>
      </c>
      <c r="M81" s="110">
        <f>L81-M83</f>
        <v>38571.428571428565</v>
      </c>
      <c r="N81" s="110">
        <f>M81-N79</f>
        <v>5000</v>
      </c>
      <c r="O81" s="110">
        <f>N81-O83</f>
        <v>4826.3888888888887</v>
      </c>
      <c r="P81" s="111">
        <v>0</v>
      </c>
    </row>
    <row r="82" spans="1:16" s="1" customFormat="1" x14ac:dyDescent="0.2">
      <c r="C82" s="106"/>
      <c r="D82" s="106"/>
      <c r="E82" s="106"/>
      <c r="F82" s="106"/>
      <c r="G82" s="106"/>
      <c r="H82" s="106"/>
      <c r="I82" s="47"/>
      <c r="J82" s="47"/>
      <c r="K82" s="105"/>
      <c r="L82" s="47"/>
      <c r="M82" s="47"/>
      <c r="N82" s="105"/>
      <c r="O82" s="105"/>
      <c r="P82" s="105"/>
    </row>
    <row r="83" spans="1:16" s="1" customFormat="1" x14ac:dyDescent="0.2">
      <c r="A83" s="1" t="s">
        <v>810</v>
      </c>
      <c r="C83" s="106"/>
      <c r="D83" s="106"/>
      <c r="E83" s="106"/>
      <c r="F83" s="110">
        <f>E81/18</f>
        <v>1388.8888888888889</v>
      </c>
      <c r="G83" s="110">
        <f>F83</f>
        <v>1388.8888888888889</v>
      </c>
      <c r="H83" s="110">
        <f>G83</f>
        <v>1388.8888888888889</v>
      </c>
      <c r="I83" s="47"/>
      <c r="J83" s="47"/>
      <c r="K83" s="105"/>
      <c r="L83" s="110">
        <f>K81/14</f>
        <v>3214.2857142857142</v>
      </c>
      <c r="M83" s="110">
        <f>L83</f>
        <v>3214.2857142857142</v>
      </c>
      <c r="N83" s="110">
        <f>M83</f>
        <v>3214.2857142857142</v>
      </c>
      <c r="O83" s="110">
        <f>N81/12*(5/12)</f>
        <v>173.61111111111111</v>
      </c>
      <c r="P83" s="110">
        <f>O83+O81</f>
        <v>5000</v>
      </c>
    </row>
    <row r="84" spans="1:16" s="1" customFormat="1" x14ac:dyDescent="0.2">
      <c r="C84" s="105"/>
      <c r="D84" s="105"/>
      <c r="E84" s="105"/>
      <c r="F84" s="105"/>
      <c r="G84" s="105"/>
      <c r="H84" s="105"/>
      <c r="I84" s="105"/>
      <c r="J84" s="47"/>
      <c r="K84" s="105"/>
      <c r="L84" s="105"/>
      <c r="M84" s="105"/>
      <c r="N84" s="105"/>
      <c r="O84" s="105"/>
      <c r="P84" s="105"/>
    </row>
    <row r="85" spans="1:16" s="47" customFormat="1" x14ac:dyDescent="0.2">
      <c r="A85" s="47" t="s">
        <v>733</v>
      </c>
      <c r="P85" s="110">
        <f>O71-33000</f>
        <v>784.72222222221899</v>
      </c>
    </row>
    <row r="86" spans="1:16" s="1" customFormat="1" x14ac:dyDescent="0.2">
      <c r="J86" s="47"/>
    </row>
    <row r="87" spans="1:16" s="1" customFormat="1" x14ac:dyDescent="0.2">
      <c r="A87" s="70" t="s">
        <v>811</v>
      </c>
      <c r="B87" s="70"/>
      <c r="C87" s="70"/>
      <c r="D87" s="70"/>
      <c r="E87" s="70"/>
      <c r="F87" s="70"/>
      <c r="G87" s="70"/>
      <c r="H87" s="70"/>
    </row>
    <row r="88" spans="1:16" s="1" customFormat="1" x14ac:dyDescent="0.2"/>
    <row r="89" spans="1:16" s="1" customFormat="1" x14ac:dyDescent="0.2">
      <c r="A89" s="1" t="s">
        <v>812</v>
      </c>
      <c r="F89"/>
    </row>
    <row r="90" spans="1:16" s="1" customFormat="1" x14ac:dyDescent="0.2">
      <c r="A90" s="1" t="s">
        <v>813</v>
      </c>
      <c r="F90"/>
    </row>
    <row r="91" spans="1:16" s="1" customFormat="1" x14ac:dyDescent="0.2">
      <c r="A91" s="1" t="s">
        <v>814</v>
      </c>
      <c r="F91"/>
    </row>
    <row r="92" spans="1:16" s="1" customFormat="1" x14ac:dyDescent="0.2">
      <c r="A92" s="1" t="s">
        <v>815</v>
      </c>
      <c r="F92"/>
    </row>
    <row r="93" spans="1:16" s="1" customFormat="1" x14ac:dyDescent="0.2">
      <c r="A93" s="1" t="s">
        <v>816</v>
      </c>
      <c r="F93"/>
    </row>
    <row r="94" spans="1:16" s="1" customFormat="1" x14ac:dyDescent="0.2">
      <c r="A94" s="1" t="s">
        <v>744</v>
      </c>
      <c r="F94"/>
    </row>
    <row r="95" spans="1:16" s="1" customFormat="1" x14ac:dyDescent="0.2">
      <c r="A95" s="1" t="s">
        <v>817</v>
      </c>
      <c r="F95"/>
    </row>
    <row r="96" spans="1:16" s="1" customFormat="1" x14ac:dyDescent="0.2">
      <c r="F96"/>
    </row>
    <row r="97" spans="1:12" s="1" customFormat="1" x14ac:dyDescent="0.2">
      <c r="A97" s="1" t="s">
        <v>818</v>
      </c>
      <c r="F97"/>
    </row>
    <row r="98" spans="1:12" s="1" customFormat="1" x14ac:dyDescent="0.2">
      <c r="A98" s="94"/>
      <c r="B98" s="94" t="s">
        <v>819</v>
      </c>
      <c r="F98"/>
    </row>
    <row r="99" spans="1:12" s="1" customFormat="1" x14ac:dyDescent="0.2">
      <c r="A99" s="35">
        <v>44196</v>
      </c>
      <c r="B99" s="23">
        <v>500000</v>
      </c>
      <c r="F99"/>
    </row>
    <row r="100" spans="1:12" s="1" customFormat="1" x14ac:dyDescent="0.2">
      <c r="A100" s="35">
        <v>44561</v>
      </c>
      <c r="B100" s="23">
        <v>480000</v>
      </c>
      <c r="F100" s="1" t="s">
        <v>820</v>
      </c>
      <c r="J100" s="1" t="s">
        <v>821</v>
      </c>
    </row>
    <row r="101" spans="1:12" s="1" customFormat="1" x14ac:dyDescent="0.2">
      <c r="A101" s="35">
        <v>44926</v>
      </c>
      <c r="B101" s="23">
        <v>320000</v>
      </c>
      <c r="F101" s="217" t="s">
        <v>822</v>
      </c>
      <c r="G101" s="217"/>
      <c r="H101" s="217"/>
      <c r="L101" s="1" t="s">
        <v>823</v>
      </c>
    </row>
    <row r="102" spans="1:12" s="1" customFormat="1" x14ac:dyDescent="0.2">
      <c r="A102" s="35">
        <v>45291</v>
      </c>
      <c r="B102" s="23">
        <v>380000</v>
      </c>
      <c r="F102"/>
    </row>
    <row r="103" spans="1:12" s="1" customFormat="1" x14ac:dyDescent="0.2">
      <c r="F103"/>
    </row>
    <row r="104" spans="1:12" s="1" customFormat="1" x14ac:dyDescent="0.2">
      <c r="A104" s="1" t="s">
        <v>824</v>
      </c>
      <c r="F104"/>
    </row>
    <row r="105" spans="1:12" s="1" customFormat="1" x14ac:dyDescent="0.2">
      <c r="F105"/>
    </row>
    <row r="106" spans="1:12" s="1" customFormat="1" x14ac:dyDescent="0.2">
      <c r="A106" s="1" t="s">
        <v>506</v>
      </c>
      <c r="F106"/>
    </row>
    <row r="107" spans="1:12" s="1" customFormat="1" x14ac:dyDescent="0.2">
      <c r="C107" s="47" t="s">
        <v>658</v>
      </c>
      <c r="D107" s="41" t="s">
        <v>804</v>
      </c>
      <c r="E107" s="1" t="s">
        <v>658</v>
      </c>
      <c r="F107" s="41" t="s">
        <v>804</v>
      </c>
      <c r="G107" s="1" t="s">
        <v>658</v>
      </c>
      <c r="H107" s="41" t="s">
        <v>804</v>
      </c>
      <c r="I107" s="1" t="s">
        <v>658</v>
      </c>
      <c r="J107" s="41" t="s">
        <v>804</v>
      </c>
      <c r="K107" s="1" t="s">
        <v>299</v>
      </c>
      <c r="L107" s="41" t="s">
        <v>806</v>
      </c>
    </row>
    <row r="108" spans="1:12" s="1" customFormat="1" x14ac:dyDescent="0.2">
      <c r="C108" s="48">
        <v>44196</v>
      </c>
      <c r="D108" s="103">
        <v>44196</v>
      </c>
      <c r="E108" s="49">
        <v>44561</v>
      </c>
      <c r="F108" s="103">
        <v>44561</v>
      </c>
      <c r="G108" s="49">
        <v>44926</v>
      </c>
      <c r="H108" s="103">
        <v>44926</v>
      </c>
      <c r="I108" s="49">
        <v>45291</v>
      </c>
      <c r="J108" s="103">
        <v>45291</v>
      </c>
      <c r="K108" s="49">
        <v>45383</v>
      </c>
      <c r="L108" s="103">
        <v>45657</v>
      </c>
    </row>
    <row r="109" spans="1:12" s="1" customFormat="1" x14ac:dyDescent="0.2">
      <c r="A109" s="1" t="s">
        <v>825</v>
      </c>
      <c r="C109" s="114">
        <v>500000</v>
      </c>
      <c r="D109" s="114">
        <f>D112-D110</f>
        <v>500000</v>
      </c>
      <c r="E109" s="114">
        <f>D109</f>
        <v>500000</v>
      </c>
      <c r="F109" s="114">
        <f>F112</f>
        <v>480000</v>
      </c>
      <c r="G109" s="114">
        <f>F109</f>
        <v>480000</v>
      </c>
      <c r="H109" s="114">
        <f>H112+H111</f>
        <v>350000</v>
      </c>
      <c r="I109" s="114">
        <f>H109</f>
        <v>350000</v>
      </c>
      <c r="J109" s="114">
        <f>J112</f>
        <v>380000</v>
      </c>
      <c r="K109" s="114">
        <f>J109</f>
        <v>380000</v>
      </c>
      <c r="L109" s="114">
        <v>0</v>
      </c>
    </row>
    <row r="110" spans="1:12" s="1" customFormat="1" x14ac:dyDescent="0.2">
      <c r="A110" s="1" t="s">
        <v>96</v>
      </c>
      <c r="C110" s="114">
        <f>C114</f>
        <v>50000</v>
      </c>
      <c r="D110" s="114">
        <v>0</v>
      </c>
      <c r="E110" s="114">
        <f>E114</f>
        <v>55555.555555555555</v>
      </c>
      <c r="F110" s="114">
        <v>0</v>
      </c>
      <c r="G110" s="114">
        <f>G114</f>
        <v>60000</v>
      </c>
      <c r="H110" s="114">
        <v>0</v>
      </c>
      <c r="I110" s="114">
        <f>I114+H111/7</f>
        <v>50000</v>
      </c>
      <c r="J110" s="114">
        <v>0</v>
      </c>
      <c r="K110" s="114">
        <f>K114</f>
        <v>15833.333333333334</v>
      </c>
      <c r="L110" s="114">
        <v>0</v>
      </c>
    </row>
    <row r="111" spans="1:12" s="1" customFormat="1" x14ac:dyDescent="0.2">
      <c r="A111" s="1" t="s">
        <v>201</v>
      </c>
      <c r="C111" s="114"/>
      <c r="D111" s="114"/>
      <c r="E111" s="114"/>
      <c r="F111" s="114"/>
      <c r="G111" s="114"/>
      <c r="H111" s="114">
        <f>H116</f>
        <v>30000</v>
      </c>
      <c r="I111" s="114">
        <f>H111*6/7</f>
        <v>25714.285714285714</v>
      </c>
      <c r="J111" s="114">
        <v>0</v>
      </c>
      <c r="K111" s="114"/>
      <c r="L111" s="114">
        <v>0</v>
      </c>
    </row>
    <row r="112" spans="1:12" s="1" customFormat="1" x14ac:dyDescent="0.2">
      <c r="A112" s="1" t="s">
        <v>99</v>
      </c>
      <c r="C112" s="115">
        <f>C109-C110-C111</f>
        <v>450000</v>
      </c>
      <c r="D112" s="115">
        <f>B99</f>
        <v>500000</v>
      </c>
      <c r="E112" s="115">
        <f>E109-E110</f>
        <v>444444.44444444444</v>
      </c>
      <c r="F112" s="115">
        <v>480000</v>
      </c>
      <c r="G112" s="115">
        <f>G109-G110</f>
        <v>420000</v>
      </c>
      <c r="H112" s="115">
        <v>320000</v>
      </c>
      <c r="I112" s="115">
        <f>I109-I110-I111</f>
        <v>274285.71428571426</v>
      </c>
      <c r="J112" s="115">
        <v>380000</v>
      </c>
      <c r="K112" s="115">
        <f>K109-K110</f>
        <v>364166.66666666669</v>
      </c>
      <c r="L112" s="115">
        <v>0</v>
      </c>
    </row>
    <row r="113" spans="1:12" s="1" customFormat="1" x14ac:dyDescent="0.2">
      <c r="C113" s="114"/>
      <c r="D113" s="114"/>
      <c r="E113" s="114"/>
      <c r="F113" s="114"/>
      <c r="G113" s="114"/>
      <c r="H113" s="114"/>
      <c r="I113" s="113"/>
      <c r="J113" s="114"/>
      <c r="K113" s="113"/>
      <c r="L113" s="113"/>
    </row>
    <row r="114" spans="1:12" s="1" customFormat="1" x14ac:dyDescent="0.2">
      <c r="A114" s="1" t="s">
        <v>100</v>
      </c>
      <c r="C114" s="114">
        <f>500000/10</f>
        <v>50000</v>
      </c>
      <c r="D114" s="114">
        <f>C114</f>
        <v>50000</v>
      </c>
      <c r="E114" s="114">
        <f>D112/9</f>
        <v>55555.555555555555</v>
      </c>
      <c r="F114" s="114">
        <f>E114</f>
        <v>55555.555555555555</v>
      </c>
      <c r="G114" s="114">
        <f>F112/8</f>
        <v>60000</v>
      </c>
      <c r="H114" s="114">
        <f>G114</f>
        <v>60000</v>
      </c>
      <c r="I114" s="114">
        <f>H112/7</f>
        <v>45714.285714285717</v>
      </c>
      <c r="J114" s="114">
        <f>I114</f>
        <v>45714.285714285717</v>
      </c>
      <c r="K114" s="114">
        <f>J112/6*3/12</f>
        <v>15833.333333333334</v>
      </c>
      <c r="L114" s="114">
        <f>K114</f>
        <v>15833.333333333334</v>
      </c>
    </row>
    <row r="115" spans="1:12" s="1" customFormat="1" x14ac:dyDescent="0.2">
      <c r="A115" s="1" t="s">
        <v>809</v>
      </c>
      <c r="C115" s="114"/>
      <c r="D115" s="114"/>
      <c r="E115" s="114"/>
      <c r="F115" s="114"/>
      <c r="G115" s="114"/>
      <c r="H115" s="114"/>
      <c r="I115" s="114"/>
      <c r="J115" s="114">
        <f>I111</f>
        <v>25714.285714285714</v>
      </c>
      <c r="K115" s="114"/>
      <c r="L115" s="114"/>
    </row>
    <row r="116" spans="1:12" s="1" customFormat="1" x14ac:dyDescent="0.2">
      <c r="A116" s="1" t="s">
        <v>136</v>
      </c>
      <c r="C116" s="114"/>
      <c r="D116" s="114"/>
      <c r="E116" s="114"/>
      <c r="F116" s="114"/>
      <c r="G116" s="114"/>
      <c r="H116" s="114">
        <f>G112-H112-H118</f>
        <v>30000</v>
      </c>
      <c r="I116" s="114"/>
      <c r="J116" s="114"/>
      <c r="K116" s="114"/>
      <c r="L116" s="114"/>
    </row>
    <row r="117" spans="1:12" s="1" customFormat="1" x14ac:dyDescent="0.2">
      <c r="A117" s="1" t="s">
        <v>661</v>
      </c>
      <c r="C117" s="114"/>
      <c r="D117" s="114">
        <f>D112-C112</f>
        <v>50000</v>
      </c>
      <c r="E117" s="114"/>
      <c r="F117" s="114">
        <f>F112-E112</f>
        <v>35555.555555555562</v>
      </c>
      <c r="G117" s="114"/>
      <c r="H117" s="114"/>
      <c r="I117" s="114"/>
      <c r="J117" s="114">
        <f>J112-I112-J115</f>
        <v>80000.000000000029</v>
      </c>
      <c r="K117" s="114"/>
      <c r="L117" s="114"/>
    </row>
    <row r="118" spans="1:12" s="1" customFormat="1" x14ac:dyDescent="0.2">
      <c r="A118" s="1" t="s">
        <v>720</v>
      </c>
      <c r="C118" s="114"/>
      <c r="D118" s="114"/>
      <c r="E118" s="114"/>
      <c r="F118" s="114"/>
      <c r="G118" s="114"/>
      <c r="H118" s="114">
        <f>G122</f>
        <v>70000</v>
      </c>
      <c r="I118" s="114"/>
      <c r="J118" s="114"/>
      <c r="K118" s="114"/>
      <c r="L118" s="114"/>
    </row>
    <row r="119" spans="1:12" s="1" customFormat="1" x14ac:dyDescent="0.2">
      <c r="A119" s="1" t="s">
        <v>826</v>
      </c>
      <c r="C119" s="114"/>
      <c r="D119" s="114"/>
      <c r="E119" s="114"/>
      <c r="F119" s="114"/>
      <c r="G119" s="114"/>
      <c r="H119" s="114"/>
      <c r="I119" s="114"/>
      <c r="J119" s="114"/>
      <c r="K119" s="114"/>
      <c r="L119" s="113"/>
    </row>
    <row r="120" spans="1:12" s="1" customFormat="1" x14ac:dyDescent="0.2">
      <c r="A120" s="1" t="s">
        <v>733</v>
      </c>
      <c r="C120" s="114"/>
      <c r="D120" s="114"/>
      <c r="E120" s="114"/>
      <c r="F120" s="114"/>
      <c r="G120" s="114"/>
      <c r="H120" s="114"/>
      <c r="I120" s="114"/>
      <c r="J120" s="114"/>
      <c r="K120" s="114"/>
      <c r="L120" s="114">
        <f>K112-1.1*327000</f>
        <v>4466.6666666666861</v>
      </c>
    </row>
    <row r="121" spans="1:12" s="1" customFormat="1" x14ac:dyDescent="0.2">
      <c r="C121" s="114"/>
      <c r="D121" s="114"/>
      <c r="E121" s="114"/>
      <c r="F121" s="114"/>
      <c r="G121" s="114"/>
      <c r="H121" s="114"/>
      <c r="I121" s="114"/>
      <c r="J121" s="114"/>
      <c r="K121" s="114"/>
      <c r="L121" s="113"/>
    </row>
    <row r="122" spans="1:12" s="1" customFormat="1" x14ac:dyDescent="0.2">
      <c r="A122" s="1" t="s">
        <v>827</v>
      </c>
      <c r="C122" s="114"/>
      <c r="D122" s="114">
        <f>D117</f>
        <v>50000</v>
      </c>
      <c r="E122" s="114">
        <f>D122-E124</f>
        <v>44444.444444444445</v>
      </c>
      <c r="F122" s="114">
        <f>F117+E122</f>
        <v>80000</v>
      </c>
      <c r="G122" s="114">
        <f>F122-G124</f>
        <v>70000</v>
      </c>
      <c r="H122" s="114">
        <f>G122-H118</f>
        <v>0</v>
      </c>
      <c r="I122" s="114"/>
      <c r="J122" s="114">
        <f>J117</f>
        <v>80000.000000000029</v>
      </c>
      <c r="K122" s="114">
        <f>J122-K124</f>
        <v>76666.666666666701</v>
      </c>
      <c r="L122" s="114">
        <v>0</v>
      </c>
    </row>
    <row r="123" spans="1:12" s="1" customFormat="1" x14ac:dyDescent="0.2">
      <c r="C123" s="47"/>
      <c r="D123" s="47"/>
      <c r="E123" s="114"/>
      <c r="F123" s="114"/>
      <c r="G123" s="114"/>
      <c r="H123" s="114"/>
      <c r="I123" s="114"/>
      <c r="J123" s="114"/>
      <c r="K123" s="114"/>
      <c r="L123" s="113"/>
    </row>
    <row r="124" spans="1:12" s="1" customFormat="1" x14ac:dyDescent="0.2">
      <c r="A124" s="1" t="s">
        <v>828</v>
      </c>
      <c r="C124" s="47"/>
      <c r="D124" s="47"/>
      <c r="E124" s="114">
        <f>D122/9</f>
        <v>5555.5555555555557</v>
      </c>
      <c r="F124" s="114">
        <f>E124</f>
        <v>5555.5555555555557</v>
      </c>
      <c r="G124" s="114">
        <f>F122/8</f>
        <v>10000</v>
      </c>
      <c r="H124" s="114">
        <f>G124</f>
        <v>10000</v>
      </c>
      <c r="I124" s="114"/>
      <c r="J124" s="114"/>
      <c r="K124" s="114">
        <f>J122/6*3/12</f>
        <v>3333.3333333333344</v>
      </c>
      <c r="L124" s="114">
        <f>K122+K124</f>
        <v>80000.000000000029</v>
      </c>
    </row>
    <row r="125" spans="1:12" s="1" customFormat="1" x14ac:dyDescent="0.2">
      <c r="F125" s="116"/>
      <c r="G125" s="47"/>
      <c r="H125" s="47"/>
      <c r="J125" s="47"/>
    </row>
    <row r="126" spans="1:12" s="1" customFormat="1" x14ac:dyDescent="0.2">
      <c r="F126"/>
      <c r="H126" s="47"/>
    </row>
    <row r="127" spans="1:12" s="1" customFormat="1" x14ac:dyDescent="0.2">
      <c r="F127"/>
    </row>
    <row r="128" spans="1:12" s="1" customFormat="1" x14ac:dyDescent="0.2">
      <c r="F128"/>
    </row>
    <row r="129" spans="6:6" s="1" customFormat="1" x14ac:dyDescent="0.2">
      <c r="F129"/>
    </row>
    <row r="130" spans="6:6" s="1" customFormat="1" x14ac:dyDescent="0.2">
      <c r="F130"/>
    </row>
    <row r="131" spans="6:6" s="1" customFormat="1" x14ac:dyDescent="0.2">
      <c r="F131"/>
    </row>
    <row r="132" spans="6:6" s="1" customFormat="1" x14ac:dyDescent="0.2">
      <c r="F132"/>
    </row>
    <row r="133" spans="6:6" s="1" customFormat="1" x14ac:dyDescent="0.2">
      <c r="F133"/>
    </row>
    <row r="134" spans="6:6" s="1" customFormat="1" x14ac:dyDescent="0.2">
      <c r="F134"/>
    </row>
    <row r="135" spans="6:6" s="1" customFormat="1" x14ac:dyDescent="0.2">
      <c r="F135"/>
    </row>
    <row r="136" spans="6:6" s="1" customFormat="1" x14ac:dyDescent="0.2">
      <c r="F136"/>
    </row>
    <row r="137" spans="6:6" s="1" customFormat="1" x14ac:dyDescent="0.2">
      <c r="F137"/>
    </row>
    <row r="138" spans="6:6" s="1" customFormat="1" x14ac:dyDescent="0.2">
      <c r="F138"/>
    </row>
    <row r="139" spans="6:6" s="1" customFormat="1" x14ac:dyDescent="0.2">
      <c r="F139"/>
    </row>
    <row r="140" spans="6:6" s="1" customFormat="1" x14ac:dyDescent="0.2">
      <c r="F140"/>
    </row>
    <row r="141" spans="6:6" s="1" customFormat="1" x14ac:dyDescent="0.2">
      <c r="F141"/>
    </row>
    <row r="142" spans="6:6" s="1" customFormat="1" x14ac:dyDescent="0.2">
      <c r="F142"/>
    </row>
    <row r="143" spans="6:6" s="1" customFormat="1" x14ac:dyDescent="0.2">
      <c r="F143"/>
    </row>
    <row r="144" spans="6:6" s="1" customFormat="1" x14ac:dyDescent="0.2">
      <c r="F144"/>
    </row>
    <row r="145" spans="6:6" s="1" customFormat="1" x14ac:dyDescent="0.2">
      <c r="F145"/>
    </row>
    <row r="146" spans="6:6" s="1" customFormat="1" x14ac:dyDescent="0.2">
      <c r="F146"/>
    </row>
    <row r="147" spans="6:6" s="1" customFormat="1" x14ac:dyDescent="0.2">
      <c r="F147"/>
    </row>
    <row r="148" spans="6:6" s="1" customFormat="1" x14ac:dyDescent="0.2">
      <c r="F148"/>
    </row>
    <row r="149" spans="6:6" s="1" customFormat="1" x14ac:dyDescent="0.2">
      <c r="F149"/>
    </row>
  </sheetData>
  <mergeCells count="1">
    <mergeCell ref="F101:H10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0AE231-125C-8146-A915-7778128C65F6}">
  <dimension ref="A1:Q200"/>
  <sheetViews>
    <sheetView rightToLeft="1" topLeftCell="A155" zoomScale="200" zoomScaleNormal="200" workbookViewId="0">
      <selection activeCell="A172" sqref="A172:XFD172"/>
    </sheetView>
  </sheetViews>
  <sheetFormatPr baseColWidth="10" defaultRowHeight="16" x14ac:dyDescent="0.2"/>
  <cols>
    <col min="1" max="11" width="10.83203125" style="117"/>
    <col min="12" max="12" width="11.1640625" style="117" bestFit="1" customWidth="1"/>
    <col min="13" max="16384" width="10.83203125" style="117"/>
  </cols>
  <sheetData>
    <row r="1" spans="1:8" x14ac:dyDescent="0.2">
      <c r="A1" s="118" t="s">
        <v>836</v>
      </c>
      <c r="B1" s="118"/>
      <c r="C1" s="118"/>
      <c r="D1" s="118"/>
      <c r="E1" s="118"/>
      <c r="F1" s="118"/>
      <c r="G1" s="118"/>
      <c r="H1" s="118"/>
    </row>
    <row r="3" spans="1:8" x14ac:dyDescent="0.2">
      <c r="A3" s="117" t="s">
        <v>837</v>
      </c>
    </row>
    <row r="4" spans="1:8" x14ac:dyDescent="0.2">
      <c r="A4" s="117" t="s">
        <v>838</v>
      </c>
    </row>
    <row r="5" spans="1:8" x14ac:dyDescent="0.2">
      <c r="A5" s="117" t="s">
        <v>839</v>
      </c>
    </row>
    <row r="6" spans="1:8" x14ac:dyDescent="0.2">
      <c r="A6" s="117" t="s">
        <v>840</v>
      </c>
    </row>
    <row r="7" spans="1:8" x14ac:dyDescent="0.2">
      <c r="A7" s="117" t="s">
        <v>841</v>
      </c>
    </row>
    <row r="8" spans="1:8" x14ac:dyDescent="0.2">
      <c r="A8" s="117" t="s">
        <v>842</v>
      </c>
    </row>
    <row r="10" spans="1:8" x14ac:dyDescent="0.2">
      <c r="A10" s="117" t="s">
        <v>843</v>
      </c>
    </row>
    <row r="11" spans="1:8" x14ac:dyDescent="0.2">
      <c r="A11" s="117" t="s">
        <v>844</v>
      </c>
    </row>
    <row r="17" spans="1:9" ht="17" thickBot="1" x14ac:dyDescent="0.25"/>
    <row r="18" spans="1:9" ht="17" thickBot="1" x14ac:dyDescent="0.25">
      <c r="A18" s="121" t="s">
        <v>845</v>
      </c>
      <c r="B18" s="122"/>
      <c r="C18" s="122"/>
      <c r="D18" s="122"/>
      <c r="E18" s="122"/>
      <c r="F18" s="122"/>
      <c r="G18" s="122"/>
      <c r="H18" s="122"/>
      <c r="I18" s="123"/>
    </row>
    <row r="19" spans="1:9" x14ac:dyDescent="0.2">
      <c r="A19" s="117" t="s">
        <v>846</v>
      </c>
    </row>
    <row r="20" spans="1:9" x14ac:dyDescent="0.2">
      <c r="A20" s="117" t="s">
        <v>847</v>
      </c>
      <c r="I20" s="117" t="s">
        <v>855</v>
      </c>
    </row>
    <row r="21" spans="1:9" ht="17" thickBot="1" x14ac:dyDescent="0.25">
      <c r="A21" s="117" t="s">
        <v>848</v>
      </c>
      <c r="I21" s="117" t="s">
        <v>855</v>
      </c>
    </row>
    <row r="22" spans="1:9" ht="17" thickBot="1" x14ac:dyDescent="0.25">
      <c r="A22" s="117" t="s">
        <v>849</v>
      </c>
      <c r="E22" s="120"/>
      <c r="I22" s="117" t="s">
        <v>856</v>
      </c>
    </row>
    <row r="23" spans="1:9" x14ac:dyDescent="0.2">
      <c r="A23" s="117" t="s">
        <v>850</v>
      </c>
      <c r="I23" s="117" t="s">
        <v>856</v>
      </c>
    </row>
    <row r="24" spans="1:9" x14ac:dyDescent="0.2">
      <c r="A24" s="117" t="s">
        <v>851</v>
      </c>
      <c r="I24" s="117" t="s">
        <v>856</v>
      </c>
    </row>
    <row r="25" spans="1:9" x14ac:dyDescent="0.2">
      <c r="A25" s="117" t="s">
        <v>852</v>
      </c>
    </row>
    <row r="26" spans="1:9" x14ac:dyDescent="0.2">
      <c r="A26" s="117" t="s">
        <v>853</v>
      </c>
      <c r="I26" s="117" t="s">
        <v>856</v>
      </c>
    </row>
    <row r="27" spans="1:9" x14ac:dyDescent="0.2">
      <c r="A27" s="117" t="s">
        <v>854</v>
      </c>
    </row>
    <row r="29" spans="1:9" x14ac:dyDescent="0.2">
      <c r="A29" s="117" t="s">
        <v>859</v>
      </c>
    </row>
    <row r="30" spans="1:9" x14ac:dyDescent="0.2">
      <c r="A30" s="117" t="s">
        <v>857</v>
      </c>
    </row>
    <row r="31" spans="1:9" x14ac:dyDescent="0.2">
      <c r="A31" s="117" t="s">
        <v>858</v>
      </c>
    </row>
    <row r="32" spans="1:9" ht="17" thickBot="1" x14ac:dyDescent="0.25"/>
    <row r="33" spans="1:16" ht="17" thickBot="1" x14ac:dyDescent="0.25">
      <c r="A33" s="121" t="s">
        <v>860</v>
      </c>
      <c r="B33" s="122"/>
      <c r="C33" s="122"/>
      <c r="D33" s="122"/>
      <c r="E33" s="122"/>
      <c r="F33" s="122"/>
      <c r="G33" s="122"/>
      <c r="H33" s="122"/>
      <c r="I33" s="123"/>
    </row>
    <row r="34" spans="1:16" x14ac:dyDescent="0.2">
      <c r="A34" s="117" t="s">
        <v>861</v>
      </c>
    </row>
    <row r="35" spans="1:16" x14ac:dyDescent="0.2">
      <c r="B35" s="117" t="s">
        <v>862</v>
      </c>
    </row>
    <row r="36" spans="1:16" x14ac:dyDescent="0.2">
      <c r="B36" s="117" t="s">
        <v>863</v>
      </c>
    </row>
    <row r="37" spans="1:16" x14ac:dyDescent="0.2">
      <c r="C37" s="117" t="s">
        <v>864</v>
      </c>
    </row>
    <row r="38" spans="1:16" x14ac:dyDescent="0.2">
      <c r="C38" s="117" t="s">
        <v>865</v>
      </c>
    </row>
    <row r="40" spans="1:16" x14ac:dyDescent="0.2">
      <c r="A40" s="117" t="s">
        <v>866</v>
      </c>
    </row>
    <row r="41" spans="1:16" x14ac:dyDescent="0.2">
      <c r="A41" s="117" t="s">
        <v>867</v>
      </c>
    </row>
    <row r="42" spans="1:16" x14ac:dyDescent="0.2">
      <c r="B42" s="117" t="s">
        <v>868</v>
      </c>
    </row>
    <row r="43" spans="1:16" x14ac:dyDescent="0.2">
      <c r="A43" s="117" t="s">
        <v>869</v>
      </c>
    </row>
    <row r="44" spans="1:16" x14ac:dyDescent="0.2">
      <c r="B44" s="117" t="s">
        <v>870</v>
      </c>
    </row>
    <row r="45" spans="1:16" x14ac:dyDescent="0.2">
      <c r="B45" s="117" t="s">
        <v>871</v>
      </c>
    </row>
    <row r="47" spans="1:16" x14ac:dyDescent="0.2">
      <c r="A47" s="124" t="s">
        <v>872</v>
      </c>
      <c r="B47" s="118"/>
      <c r="C47" s="118"/>
      <c r="D47" s="118"/>
      <c r="E47" s="118"/>
      <c r="F47" s="118"/>
      <c r="G47" s="118"/>
      <c r="H47" s="118"/>
    </row>
    <row r="48" spans="1:16" x14ac:dyDescent="0.2">
      <c r="A48" s="117" t="s">
        <v>873</v>
      </c>
      <c r="J48" s="130"/>
      <c r="K48" s="130"/>
      <c r="L48" s="134" t="s">
        <v>711</v>
      </c>
      <c r="M48" s="130"/>
      <c r="N48" s="134" t="s">
        <v>711</v>
      </c>
      <c r="P48" s="134" t="s">
        <v>711</v>
      </c>
    </row>
    <row r="49" spans="1:17" x14ac:dyDescent="0.2">
      <c r="A49" s="117" t="s">
        <v>874</v>
      </c>
      <c r="J49" s="130"/>
      <c r="K49" s="130"/>
      <c r="L49" s="134" t="s">
        <v>893</v>
      </c>
      <c r="M49" s="130" t="s">
        <v>659</v>
      </c>
      <c r="N49" s="134" t="s">
        <v>893</v>
      </c>
      <c r="O49" s="130" t="s">
        <v>659</v>
      </c>
      <c r="P49" s="134" t="s">
        <v>893</v>
      </c>
      <c r="Q49" s="130" t="s">
        <v>659</v>
      </c>
    </row>
    <row r="50" spans="1:17" x14ac:dyDescent="0.2">
      <c r="A50" s="117" t="s">
        <v>875</v>
      </c>
      <c r="J50" s="128">
        <v>43466</v>
      </c>
      <c r="K50" s="128">
        <v>43830</v>
      </c>
      <c r="L50" s="128">
        <v>44196</v>
      </c>
      <c r="M50" s="128">
        <v>44196</v>
      </c>
      <c r="N50" s="128">
        <v>44561</v>
      </c>
      <c r="O50" s="128">
        <v>44561</v>
      </c>
      <c r="P50" s="128">
        <v>44926</v>
      </c>
      <c r="Q50" s="128">
        <v>44926</v>
      </c>
    </row>
    <row r="51" spans="1:17" x14ac:dyDescent="0.2">
      <c r="A51" s="117" t="s">
        <v>876</v>
      </c>
      <c r="I51" s="117" t="s">
        <v>95</v>
      </c>
      <c r="J51" s="129">
        <v>120000</v>
      </c>
      <c r="K51" s="129">
        <f t="shared" ref="K51:Q51" si="0">J51</f>
        <v>120000</v>
      </c>
      <c r="L51" s="129">
        <f t="shared" si="0"/>
        <v>120000</v>
      </c>
      <c r="M51" s="129">
        <f t="shared" si="0"/>
        <v>120000</v>
      </c>
      <c r="N51" s="129">
        <f t="shared" si="0"/>
        <v>120000</v>
      </c>
      <c r="O51" s="129">
        <f t="shared" si="0"/>
        <v>120000</v>
      </c>
      <c r="P51" s="129">
        <f t="shared" si="0"/>
        <v>120000</v>
      </c>
      <c r="Q51" s="129">
        <f t="shared" si="0"/>
        <v>120000</v>
      </c>
    </row>
    <row r="52" spans="1:17" x14ac:dyDescent="0.2">
      <c r="A52" s="117" t="s">
        <v>877</v>
      </c>
      <c r="I52" s="117" t="s">
        <v>96</v>
      </c>
      <c r="J52" s="130">
        <v>0</v>
      </c>
      <c r="K52" s="130">
        <f>K56</f>
        <v>24000</v>
      </c>
      <c r="L52" s="130">
        <f>K52+L56</f>
        <v>48000</v>
      </c>
      <c r="M52" s="130">
        <f>L52</f>
        <v>48000</v>
      </c>
      <c r="N52" s="130">
        <f>M52+N56</f>
        <v>72000</v>
      </c>
      <c r="O52" s="130">
        <f>N52</f>
        <v>72000</v>
      </c>
      <c r="P52" s="129">
        <f>O52+P56+O53/2</f>
        <v>96000</v>
      </c>
      <c r="Q52" s="129">
        <f>P52</f>
        <v>96000</v>
      </c>
    </row>
    <row r="53" spans="1:17" x14ac:dyDescent="0.2">
      <c r="A53" s="117" t="s">
        <v>878</v>
      </c>
      <c r="I53" s="117" t="s">
        <v>718</v>
      </c>
      <c r="J53" s="130">
        <v>0</v>
      </c>
      <c r="K53" s="130">
        <v>0</v>
      </c>
      <c r="L53" s="130"/>
      <c r="M53" s="130"/>
      <c r="N53" s="130"/>
      <c r="O53" s="129">
        <f>N54-O54</f>
        <v>13000</v>
      </c>
      <c r="P53" s="129">
        <f>O53/2</f>
        <v>6500</v>
      </c>
      <c r="Q53" s="129">
        <v>0</v>
      </c>
    </row>
    <row r="54" spans="1:17" x14ac:dyDescent="0.2">
      <c r="A54" s="117" t="s">
        <v>879</v>
      </c>
      <c r="I54" s="117" t="s">
        <v>99</v>
      </c>
      <c r="J54" s="131">
        <f>J51</f>
        <v>120000</v>
      </c>
      <c r="K54" s="131">
        <f>K51-K52-K53</f>
        <v>96000</v>
      </c>
      <c r="L54" s="131">
        <f>L51-L52-L53</f>
        <v>72000</v>
      </c>
      <c r="M54" s="131">
        <f>M51-M52-M53</f>
        <v>72000</v>
      </c>
      <c r="N54" s="131">
        <f>N51-N52-N53</f>
        <v>48000</v>
      </c>
      <c r="O54" s="131">
        <v>35000</v>
      </c>
      <c r="P54" s="131">
        <f>P51-P52-P53</f>
        <v>17500</v>
      </c>
      <c r="Q54" s="131">
        <f>Q51-Q52-Q53</f>
        <v>24000</v>
      </c>
    </row>
    <row r="55" spans="1:17" x14ac:dyDescent="0.2">
      <c r="J55" s="130"/>
      <c r="K55" s="130"/>
      <c r="L55" s="130"/>
      <c r="M55" s="130"/>
      <c r="N55" s="130"/>
      <c r="O55" s="130"/>
      <c r="P55" s="130"/>
      <c r="Q55" s="130"/>
    </row>
    <row r="56" spans="1:17" x14ac:dyDescent="0.2">
      <c r="A56" s="117" t="s">
        <v>880</v>
      </c>
      <c r="I56" s="117" t="s">
        <v>100</v>
      </c>
      <c r="J56" s="130">
        <v>0</v>
      </c>
      <c r="K56" s="130">
        <f>J54/5</f>
        <v>24000</v>
      </c>
      <c r="L56" s="130">
        <f>K56</f>
        <v>24000</v>
      </c>
      <c r="M56" s="130">
        <f>L56</f>
        <v>24000</v>
      </c>
      <c r="N56" s="130">
        <f>M56</f>
        <v>24000</v>
      </c>
      <c r="O56" s="130">
        <f>N56</f>
        <v>24000</v>
      </c>
      <c r="P56" s="130">
        <f>O54/2</f>
        <v>17500</v>
      </c>
      <c r="Q56" s="130">
        <f>P56</f>
        <v>17500</v>
      </c>
    </row>
    <row r="57" spans="1:17" x14ac:dyDescent="0.2">
      <c r="A57" s="117" t="s">
        <v>881</v>
      </c>
      <c r="J57" s="130"/>
      <c r="K57" s="130"/>
      <c r="L57" s="130"/>
      <c r="M57" s="130"/>
      <c r="N57" s="130"/>
      <c r="O57" s="130"/>
      <c r="P57" s="130"/>
      <c r="Q57" s="130"/>
    </row>
    <row r="58" spans="1:17" x14ac:dyDescent="0.2">
      <c r="A58" s="117" t="s">
        <v>882</v>
      </c>
      <c r="I58" s="117" t="s">
        <v>891</v>
      </c>
      <c r="J58" s="130">
        <v>0</v>
      </c>
      <c r="K58" s="130"/>
      <c r="L58" s="130"/>
      <c r="M58" s="130"/>
      <c r="N58" s="130"/>
      <c r="O58" s="129">
        <f>O53</f>
        <v>13000</v>
      </c>
      <c r="P58" s="130"/>
      <c r="Q58" s="129"/>
    </row>
    <row r="59" spans="1:17" x14ac:dyDescent="0.2">
      <c r="A59" s="117" t="s">
        <v>883</v>
      </c>
      <c r="I59" s="117" t="s">
        <v>892</v>
      </c>
      <c r="J59" s="130">
        <v>0</v>
      </c>
      <c r="K59" s="130"/>
      <c r="L59" s="130"/>
      <c r="M59" s="130"/>
      <c r="N59" s="130"/>
      <c r="O59" s="130"/>
      <c r="P59" s="130"/>
      <c r="Q59" s="129">
        <f>P53</f>
        <v>6500</v>
      </c>
    </row>
    <row r="60" spans="1:17" x14ac:dyDescent="0.2">
      <c r="A60" s="117" t="s">
        <v>884</v>
      </c>
      <c r="J60" s="130"/>
      <c r="K60" s="130"/>
      <c r="L60" s="130"/>
      <c r="M60" s="130"/>
    </row>
    <row r="61" spans="1:17" x14ac:dyDescent="0.2">
      <c r="A61" s="117" t="s">
        <v>885</v>
      </c>
      <c r="I61" s="117" t="s">
        <v>894</v>
      </c>
    </row>
    <row r="62" spans="1:17" x14ac:dyDescent="0.2">
      <c r="I62" s="117" t="s">
        <v>895</v>
      </c>
    </row>
    <row r="63" spans="1:17" x14ac:dyDescent="0.2">
      <c r="A63" s="117" t="s">
        <v>886</v>
      </c>
      <c r="I63" s="117" t="s">
        <v>896</v>
      </c>
    </row>
    <row r="65" spans="1:13" x14ac:dyDescent="0.2">
      <c r="A65" s="125" t="s">
        <v>656</v>
      </c>
      <c r="B65" s="125" t="s">
        <v>706</v>
      </c>
      <c r="C65" s="125" t="s">
        <v>887</v>
      </c>
      <c r="D65" s="125" t="s">
        <v>888</v>
      </c>
      <c r="I65" s="117" t="s">
        <v>897</v>
      </c>
    </row>
    <row r="66" spans="1:13" x14ac:dyDescent="0.2">
      <c r="A66" s="126">
        <v>44561</v>
      </c>
      <c r="B66" s="127">
        <v>40000</v>
      </c>
      <c r="C66" s="127">
        <v>5000</v>
      </c>
      <c r="D66" s="127">
        <v>30000</v>
      </c>
    </row>
    <row r="67" spans="1:13" x14ac:dyDescent="0.2">
      <c r="A67" s="126">
        <v>44926</v>
      </c>
      <c r="B67" s="127">
        <v>30000</v>
      </c>
      <c r="C67" s="127">
        <v>2000</v>
      </c>
      <c r="D67" s="127">
        <v>42000</v>
      </c>
      <c r="F67" s="127"/>
      <c r="I67" s="117" t="s">
        <v>898</v>
      </c>
    </row>
    <row r="68" spans="1:13" x14ac:dyDescent="0.2">
      <c r="A68" s="126"/>
      <c r="I68" s="117" t="s">
        <v>899</v>
      </c>
    </row>
    <row r="69" spans="1:13" x14ac:dyDescent="0.2">
      <c r="A69" s="117" t="s">
        <v>60</v>
      </c>
    </row>
    <row r="70" spans="1:13" x14ac:dyDescent="0.2">
      <c r="A70" s="117" t="s">
        <v>889</v>
      </c>
      <c r="I70" s="119" t="s">
        <v>900</v>
      </c>
    </row>
    <row r="71" spans="1:13" x14ac:dyDescent="0.2">
      <c r="A71" s="117" t="s">
        <v>890</v>
      </c>
    </row>
    <row r="72" spans="1:13" x14ac:dyDescent="0.2">
      <c r="L72" s="135" t="s">
        <v>901</v>
      </c>
      <c r="M72" s="135" t="s">
        <v>902</v>
      </c>
    </row>
    <row r="73" spans="1:13" x14ac:dyDescent="0.2">
      <c r="H73" s="117">
        <v>2019</v>
      </c>
      <c r="I73" s="117" t="s">
        <v>903</v>
      </c>
      <c r="L73" s="127">
        <v>120000</v>
      </c>
      <c r="M73" s="127"/>
    </row>
    <row r="74" spans="1:13" x14ac:dyDescent="0.2">
      <c r="I74" s="117" t="s">
        <v>454</v>
      </c>
      <c r="L74" s="127"/>
      <c r="M74" s="127">
        <f>L73</f>
        <v>120000</v>
      </c>
    </row>
    <row r="75" spans="1:13" x14ac:dyDescent="0.2">
      <c r="L75" s="127"/>
      <c r="M75" s="127"/>
    </row>
    <row r="76" spans="1:13" x14ac:dyDescent="0.2">
      <c r="H76" s="117">
        <v>2019</v>
      </c>
      <c r="I76" s="117" t="s">
        <v>904</v>
      </c>
      <c r="L76" s="127">
        <v>24000</v>
      </c>
      <c r="M76" s="127"/>
    </row>
    <row r="77" spans="1:13" x14ac:dyDescent="0.2">
      <c r="I77" s="117" t="s">
        <v>905</v>
      </c>
      <c r="L77" s="127"/>
      <c r="M77" s="127">
        <f>L76</f>
        <v>24000</v>
      </c>
    </row>
    <row r="78" spans="1:13" x14ac:dyDescent="0.2">
      <c r="L78" s="127"/>
      <c r="M78" s="127"/>
    </row>
    <row r="79" spans="1:13" x14ac:dyDescent="0.2">
      <c r="H79" s="117">
        <v>2020</v>
      </c>
      <c r="I79" s="117" t="s">
        <v>904</v>
      </c>
      <c r="L79" s="127">
        <v>24000</v>
      </c>
      <c r="M79" s="127"/>
    </row>
    <row r="80" spans="1:13" x14ac:dyDescent="0.2">
      <c r="I80" s="117" t="s">
        <v>905</v>
      </c>
      <c r="L80" s="127"/>
      <c r="M80" s="127">
        <f>L79</f>
        <v>24000</v>
      </c>
    </row>
    <row r="81" spans="1:13" x14ac:dyDescent="0.2">
      <c r="L81" s="127"/>
      <c r="M81" s="127"/>
    </row>
    <row r="82" spans="1:13" x14ac:dyDescent="0.2">
      <c r="H82" s="117">
        <v>2021</v>
      </c>
      <c r="I82" s="117" t="s">
        <v>904</v>
      </c>
      <c r="L82" s="127">
        <v>24000</v>
      </c>
      <c r="M82" s="127"/>
    </row>
    <row r="83" spans="1:13" x14ac:dyDescent="0.2">
      <c r="I83" s="117" t="s">
        <v>905</v>
      </c>
      <c r="L83" s="127"/>
      <c r="M83" s="127">
        <f>L82</f>
        <v>24000</v>
      </c>
    </row>
    <row r="84" spans="1:13" x14ac:dyDescent="0.2">
      <c r="L84" s="127"/>
      <c r="M84" s="127"/>
    </row>
    <row r="85" spans="1:13" x14ac:dyDescent="0.2">
      <c r="H85" s="117">
        <v>2021</v>
      </c>
      <c r="I85" s="117" t="s">
        <v>906</v>
      </c>
      <c r="L85" s="127">
        <f>O53</f>
        <v>13000</v>
      </c>
      <c r="M85" s="127"/>
    </row>
    <row r="86" spans="1:13" x14ac:dyDescent="0.2">
      <c r="I86" s="117" t="s">
        <v>907</v>
      </c>
      <c r="L86" s="127"/>
      <c r="M86" s="127">
        <f>L85</f>
        <v>13000</v>
      </c>
    </row>
    <row r="87" spans="1:13" x14ac:dyDescent="0.2">
      <c r="L87" s="127"/>
      <c r="M87" s="127"/>
    </row>
    <row r="88" spans="1:13" x14ac:dyDescent="0.2">
      <c r="H88" s="117">
        <v>2022</v>
      </c>
      <c r="I88" s="117" t="s">
        <v>904</v>
      </c>
      <c r="L88" s="127">
        <f>P56</f>
        <v>17500</v>
      </c>
      <c r="M88" s="127"/>
    </row>
    <row r="89" spans="1:13" x14ac:dyDescent="0.2">
      <c r="I89" s="117" t="s">
        <v>908</v>
      </c>
      <c r="L89" s="127">
        <f>P53</f>
        <v>6500</v>
      </c>
      <c r="M89" s="127"/>
    </row>
    <row r="90" spans="1:13" x14ac:dyDescent="0.2">
      <c r="I90" s="117" t="s">
        <v>905</v>
      </c>
      <c r="L90" s="127"/>
      <c r="M90" s="127">
        <f>M83</f>
        <v>24000</v>
      </c>
    </row>
    <row r="91" spans="1:13" x14ac:dyDescent="0.2">
      <c r="L91" s="127"/>
      <c r="M91" s="127"/>
    </row>
    <row r="92" spans="1:13" x14ac:dyDescent="0.2">
      <c r="H92" s="117">
        <v>2022</v>
      </c>
      <c r="I92" s="117" t="s">
        <v>909</v>
      </c>
      <c r="L92" s="127">
        <f>L89</f>
        <v>6500</v>
      </c>
      <c r="M92" s="127"/>
    </row>
    <row r="93" spans="1:13" x14ac:dyDescent="0.2">
      <c r="I93" s="117" t="s">
        <v>910</v>
      </c>
      <c r="L93" s="127"/>
      <c r="M93" s="127">
        <f>L92</f>
        <v>6500</v>
      </c>
    </row>
    <row r="96" spans="1:13" x14ac:dyDescent="0.2">
      <c r="A96" s="124" t="s">
        <v>911</v>
      </c>
      <c r="B96" s="118"/>
      <c r="C96" s="118"/>
      <c r="D96" s="118"/>
      <c r="E96" s="118"/>
      <c r="F96" s="118"/>
      <c r="G96" s="118"/>
      <c r="H96" s="118"/>
    </row>
    <row r="98" spans="1:4" x14ac:dyDescent="0.2">
      <c r="A98" s="117" t="s">
        <v>912</v>
      </c>
    </row>
    <row r="99" spans="1:4" x14ac:dyDescent="0.2">
      <c r="A99" s="117" t="s">
        <v>913</v>
      </c>
    </row>
    <row r="100" spans="1:4" x14ac:dyDescent="0.2">
      <c r="A100" s="117" t="s">
        <v>914</v>
      </c>
    </row>
    <row r="101" spans="1:4" x14ac:dyDescent="0.2">
      <c r="A101" s="117" t="s">
        <v>915</v>
      </c>
    </row>
    <row r="102" spans="1:4" x14ac:dyDescent="0.2">
      <c r="A102" s="117" t="s">
        <v>916</v>
      </c>
    </row>
    <row r="103" spans="1:4" x14ac:dyDescent="0.2">
      <c r="A103" s="117" t="s">
        <v>917</v>
      </c>
    </row>
    <row r="104" spans="1:4" x14ac:dyDescent="0.2">
      <c r="A104" s="117" t="s">
        <v>918</v>
      </c>
    </row>
    <row r="105" spans="1:4" x14ac:dyDescent="0.2">
      <c r="A105" s="117" t="s">
        <v>919</v>
      </c>
    </row>
    <row r="106" spans="1:4" x14ac:dyDescent="0.2">
      <c r="A106" s="117" t="s">
        <v>920</v>
      </c>
    </row>
    <row r="107" spans="1:4" x14ac:dyDescent="0.2">
      <c r="B107" s="117" t="s">
        <v>921</v>
      </c>
      <c r="C107" s="117" t="s">
        <v>887</v>
      </c>
      <c r="D107" s="117" t="s">
        <v>922</v>
      </c>
    </row>
    <row r="108" spans="1:4" x14ac:dyDescent="0.2">
      <c r="A108" s="126">
        <v>44926</v>
      </c>
      <c r="B108" s="127">
        <v>550000</v>
      </c>
      <c r="C108" s="127">
        <v>60000</v>
      </c>
      <c r="D108" s="127">
        <v>590000</v>
      </c>
    </row>
    <row r="109" spans="1:4" x14ac:dyDescent="0.2">
      <c r="A109" s="117" t="s">
        <v>923</v>
      </c>
    </row>
    <row r="110" spans="1:4" x14ac:dyDescent="0.2">
      <c r="A110" s="117" t="s">
        <v>924</v>
      </c>
    </row>
    <row r="112" spans="1:4" x14ac:dyDescent="0.2">
      <c r="B112" s="117" t="s">
        <v>921</v>
      </c>
      <c r="C112" s="117" t="s">
        <v>887</v>
      </c>
      <c r="D112" s="117" t="s">
        <v>922</v>
      </c>
    </row>
    <row r="113" spans="1:11" x14ac:dyDescent="0.2">
      <c r="A113" s="126">
        <v>45291</v>
      </c>
      <c r="B113" s="127">
        <v>580000</v>
      </c>
      <c r="C113" s="127">
        <v>40000</v>
      </c>
      <c r="D113" s="127">
        <v>630000</v>
      </c>
    </row>
    <row r="114" spans="1:11" x14ac:dyDescent="0.2">
      <c r="A114" s="126">
        <v>45657</v>
      </c>
      <c r="B114" s="127">
        <v>430000</v>
      </c>
      <c r="C114" s="127">
        <v>10000</v>
      </c>
      <c r="D114" s="127">
        <v>520000</v>
      </c>
    </row>
    <row r="115" spans="1:11" x14ac:dyDescent="0.2">
      <c r="A115" s="126">
        <v>46022</v>
      </c>
      <c r="B115" s="127">
        <v>750000</v>
      </c>
      <c r="C115" s="127">
        <v>6000</v>
      </c>
      <c r="D115" s="127">
        <v>660000</v>
      </c>
      <c r="E115" s="130" t="s">
        <v>152</v>
      </c>
    </row>
    <row r="117" spans="1:11" x14ac:dyDescent="0.2">
      <c r="A117" s="117" t="s">
        <v>925</v>
      </c>
    </row>
    <row r="119" spans="1:11" x14ac:dyDescent="0.2">
      <c r="A119" s="119" t="s">
        <v>926</v>
      </c>
    </row>
    <row r="121" spans="1:11" x14ac:dyDescent="0.2">
      <c r="D121" s="117" t="s">
        <v>927</v>
      </c>
      <c r="E121" s="117" t="s">
        <v>928</v>
      </c>
      <c r="F121" s="117" t="s">
        <v>927</v>
      </c>
      <c r="G121" s="117" t="s">
        <v>928</v>
      </c>
      <c r="H121" s="117" t="s">
        <v>927</v>
      </c>
      <c r="I121" s="117" t="s">
        <v>928</v>
      </c>
      <c r="J121" s="117" t="s">
        <v>927</v>
      </c>
      <c r="K121" s="117" t="s">
        <v>928</v>
      </c>
    </row>
    <row r="122" spans="1:11" x14ac:dyDescent="0.2">
      <c r="B122" s="126">
        <v>44196</v>
      </c>
      <c r="C122" s="126">
        <v>44561</v>
      </c>
      <c r="D122" s="126">
        <v>44926</v>
      </c>
      <c r="E122" s="126">
        <v>44926</v>
      </c>
      <c r="F122" s="126">
        <v>45291</v>
      </c>
      <c r="G122" s="126">
        <v>45291</v>
      </c>
      <c r="H122" s="126">
        <v>45657</v>
      </c>
      <c r="I122" s="126">
        <v>45657</v>
      </c>
      <c r="J122" s="126">
        <v>46022</v>
      </c>
      <c r="K122" s="126">
        <v>46022</v>
      </c>
    </row>
    <row r="123" spans="1:11" x14ac:dyDescent="0.2">
      <c r="A123" s="117" t="s">
        <v>95</v>
      </c>
      <c r="B123" s="127">
        <v>1000000</v>
      </c>
      <c r="C123" s="127">
        <v>1000000</v>
      </c>
      <c r="D123" s="127">
        <v>1000000</v>
      </c>
      <c r="E123" s="127">
        <v>1000000</v>
      </c>
      <c r="F123" s="127">
        <v>1000000</v>
      </c>
      <c r="G123" s="127">
        <v>1000000</v>
      </c>
      <c r="H123" s="127">
        <v>1000000</v>
      </c>
      <c r="I123" s="127">
        <v>1000000</v>
      </c>
      <c r="J123" s="127">
        <v>1000000</v>
      </c>
      <c r="K123" s="127">
        <v>1000000</v>
      </c>
    </row>
    <row r="124" spans="1:11" x14ac:dyDescent="0.2">
      <c r="A124" s="117" t="s">
        <v>96</v>
      </c>
      <c r="B124" s="127">
        <f>B131</f>
        <v>100000</v>
      </c>
      <c r="C124" s="127">
        <f>B124+C131</f>
        <v>200000</v>
      </c>
      <c r="D124" s="127">
        <f>C124+D131</f>
        <v>300000</v>
      </c>
      <c r="E124" s="127">
        <f>D124</f>
        <v>300000</v>
      </c>
      <c r="F124" s="127">
        <f>E124+F131+E125/7</f>
        <v>400000.00000000006</v>
      </c>
      <c r="G124" s="127">
        <f>F124</f>
        <v>400000.00000000006</v>
      </c>
      <c r="H124" s="127">
        <f>G124+H131</f>
        <v>500000.00000000006</v>
      </c>
      <c r="I124" s="127">
        <f>H124</f>
        <v>500000.00000000006</v>
      </c>
      <c r="J124" s="127">
        <f>I124+J131</f>
        <v>600000</v>
      </c>
      <c r="K124" s="127">
        <f>J124</f>
        <v>600000</v>
      </c>
    </row>
    <row r="125" spans="1:11" x14ac:dyDescent="0.2">
      <c r="A125" s="117" t="s">
        <v>929</v>
      </c>
      <c r="B125" s="127">
        <v>0</v>
      </c>
      <c r="C125" s="127">
        <v>0</v>
      </c>
      <c r="D125" s="127">
        <v>0</v>
      </c>
      <c r="E125" s="127">
        <f>E128</f>
        <v>110000</v>
      </c>
      <c r="F125" s="127">
        <f>E125-E125/7</f>
        <v>94285.71428571429</v>
      </c>
      <c r="G125" s="117">
        <v>0</v>
      </c>
      <c r="H125" s="117">
        <v>0</v>
      </c>
      <c r="I125" s="117">
        <v>0</v>
      </c>
      <c r="J125" s="117">
        <v>0</v>
      </c>
      <c r="K125" s="117">
        <f>0</f>
        <v>0</v>
      </c>
    </row>
    <row r="126" spans="1:11" x14ac:dyDescent="0.2">
      <c r="A126" s="117" t="s">
        <v>99</v>
      </c>
      <c r="B126" s="127">
        <f>B123-B124-B125</f>
        <v>900000</v>
      </c>
      <c r="C126" s="127">
        <f>C123-C124-C125</f>
        <v>800000</v>
      </c>
      <c r="D126" s="127">
        <f>D123-D124-D125</f>
        <v>700000</v>
      </c>
      <c r="E126" s="127">
        <f>E135</f>
        <v>590000</v>
      </c>
      <c r="F126" s="127">
        <f>F123-F124-F125</f>
        <v>505714.28571428568</v>
      </c>
      <c r="G126" s="127">
        <f>G123-G124-G125</f>
        <v>600000</v>
      </c>
      <c r="H126" s="127">
        <f>H123-H124-H125</f>
        <v>499999.99999999994</v>
      </c>
      <c r="I126" s="127">
        <f>H126</f>
        <v>499999.99999999994</v>
      </c>
      <c r="J126" s="127">
        <f>J123-J124-J125</f>
        <v>400000</v>
      </c>
      <c r="K126" s="127">
        <f>J126</f>
        <v>400000</v>
      </c>
    </row>
    <row r="127" spans="1:11" x14ac:dyDescent="0.2">
      <c r="B127" s="127"/>
      <c r="C127" s="127"/>
      <c r="D127" s="127"/>
      <c r="E127" s="127"/>
    </row>
    <row r="128" spans="1:11" x14ac:dyDescent="0.2">
      <c r="A128" s="117" t="s">
        <v>891</v>
      </c>
      <c r="B128" s="127"/>
      <c r="C128" s="127"/>
      <c r="D128" s="127"/>
      <c r="E128" s="127">
        <f>D126-E126</f>
        <v>110000</v>
      </c>
    </row>
    <row r="129" spans="1:16" x14ac:dyDescent="0.2">
      <c r="A129" s="117" t="s">
        <v>892</v>
      </c>
      <c r="B129" s="127"/>
      <c r="C129" s="127"/>
      <c r="D129" s="127"/>
      <c r="E129" s="127"/>
      <c r="G129" s="127">
        <f>F125</f>
        <v>94285.71428571429</v>
      </c>
    </row>
    <row r="130" spans="1:16" x14ac:dyDescent="0.2">
      <c r="B130" s="127"/>
      <c r="C130" s="127"/>
      <c r="D130" s="127"/>
      <c r="E130" s="127"/>
    </row>
    <row r="131" spans="1:16" x14ac:dyDescent="0.2">
      <c r="A131" s="117" t="s">
        <v>100</v>
      </c>
      <c r="B131" s="127">
        <f>B123/10</f>
        <v>100000</v>
      </c>
      <c r="C131" s="127">
        <f>B131</f>
        <v>100000</v>
      </c>
      <c r="D131" s="127">
        <f>C131</f>
        <v>100000</v>
      </c>
      <c r="E131" s="127">
        <f>D131</f>
        <v>100000</v>
      </c>
      <c r="F131" s="127">
        <f>E126/7</f>
        <v>84285.71428571429</v>
      </c>
      <c r="G131" s="127">
        <f>F131</f>
        <v>84285.71428571429</v>
      </c>
      <c r="H131" s="127">
        <f>G126/6</f>
        <v>100000</v>
      </c>
      <c r="I131" s="127">
        <f>H131</f>
        <v>100000</v>
      </c>
      <c r="J131" s="127">
        <f>I131</f>
        <v>100000</v>
      </c>
      <c r="K131" s="127">
        <f>J131</f>
        <v>100000</v>
      </c>
    </row>
    <row r="134" spans="1:16" x14ac:dyDescent="0.2">
      <c r="B134" s="117" t="s">
        <v>921</v>
      </c>
      <c r="C134" s="117" t="s">
        <v>887</v>
      </c>
      <c r="D134" s="117" t="s">
        <v>922</v>
      </c>
      <c r="E134" s="117" t="s">
        <v>930</v>
      </c>
    </row>
    <row r="135" spans="1:16" x14ac:dyDescent="0.2">
      <c r="A135" s="126">
        <v>44926</v>
      </c>
      <c r="B135" s="127">
        <v>550000</v>
      </c>
      <c r="C135" s="127">
        <v>60000</v>
      </c>
      <c r="D135" s="127">
        <v>590000</v>
      </c>
      <c r="E135" s="127">
        <f>MAX(D135,B135-C135)</f>
        <v>590000</v>
      </c>
    </row>
    <row r="136" spans="1:16" x14ac:dyDescent="0.2">
      <c r="A136" s="126">
        <v>45291</v>
      </c>
      <c r="B136" s="127">
        <v>580000</v>
      </c>
      <c r="C136" s="127">
        <v>40000</v>
      </c>
      <c r="D136" s="127">
        <v>630000</v>
      </c>
      <c r="E136" s="127">
        <f>MAX(D136,B136-C136)</f>
        <v>630000</v>
      </c>
    </row>
    <row r="137" spans="1:16" x14ac:dyDescent="0.2">
      <c r="A137" s="126">
        <v>45657</v>
      </c>
      <c r="B137" s="127">
        <v>430000</v>
      </c>
      <c r="C137" s="127">
        <v>10000</v>
      </c>
      <c r="D137" s="127">
        <v>520000</v>
      </c>
      <c r="E137" s="127">
        <f>MAX(D137,B137-C137)</f>
        <v>520000</v>
      </c>
    </row>
    <row r="138" spans="1:16" x14ac:dyDescent="0.2">
      <c r="A138" s="126">
        <v>46022</v>
      </c>
      <c r="B138" s="127">
        <v>750000</v>
      </c>
      <c r="C138" s="127">
        <v>6000</v>
      </c>
      <c r="D138" s="127">
        <v>660000</v>
      </c>
      <c r="E138" s="127">
        <f>MAX(D138,B138-C138)</f>
        <v>744000</v>
      </c>
    </row>
    <row r="139" spans="1:16" x14ac:dyDescent="0.2">
      <c r="L139" s="125" t="s">
        <v>659</v>
      </c>
      <c r="M139" s="125" t="s">
        <v>659</v>
      </c>
      <c r="N139" s="125" t="s">
        <v>659</v>
      </c>
      <c r="O139" s="125" t="s">
        <v>953</v>
      </c>
      <c r="P139" s="125" t="s">
        <v>659</v>
      </c>
    </row>
    <row r="140" spans="1:16" x14ac:dyDescent="0.2">
      <c r="A140" s="124" t="s">
        <v>952</v>
      </c>
      <c r="B140" s="118"/>
      <c r="C140" s="118"/>
      <c r="D140" s="118"/>
      <c r="E140" s="118"/>
      <c r="F140" s="118"/>
      <c r="G140" s="118"/>
      <c r="H140" s="118"/>
      <c r="L140" s="126">
        <v>39083</v>
      </c>
      <c r="M140" s="126">
        <v>39447</v>
      </c>
      <c r="N140" s="126">
        <v>39813</v>
      </c>
      <c r="O140" s="126">
        <v>40178</v>
      </c>
      <c r="P140" s="126">
        <v>40178</v>
      </c>
    </row>
    <row r="141" spans="1:16" x14ac:dyDescent="0.2">
      <c r="A141" s="117" t="s">
        <v>931</v>
      </c>
      <c r="J141" s="117" t="s">
        <v>95</v>
      </c>
      <c r="L141" s="117">
        <v>500000</v>
      </c>
      <c r="M141" s="117">
        <f>L141</f>
        <v>500000</v>
      </c>
      <c r="N141" s="117">
        <f>M141</f>
        <v>500000</v>
      </c>
      <c r="O141" s="117">
        <f>N141</f>
        <v>500000</v>
      </c>
      <c r="P141" s="117">
        <f>O141</f>
        <v>500000</v>
      </c>
    </row>
    <row r="142" spans="1:16" x14ac:dyDescent="0.2">
      <c r="A142" s="117" t="s">
        <v>932</v>
      </c>
      <c r="J142" s="117" t="s">
        <v>96</v>
      </c>
      <c r="L142" s="117">
        <v>0</v>
      </c>
      <c r="M142" s="117">
        <f>M146</f>
        <v>45000</v>
      </c>
      <c r="N142" s="117">
        <f>M142+N146</f>
        <v>90000</v>
      </c>
      <c r="O142" s="117">
        <f>N142+O146</f>
        <v>135000</v>
      </c>
      <c r="P142" s="117">
        <f>O142</f>
        <v>135000</v>
      </c>
    </row>
    <row r="143" spans="1:16" x14ac:dyDescent="0.2">
      <c r="A143" s="117" t="s">
        <v>933</v>
      </c>
      <c r="J143" s="117" t="s">
        <v>201</v>
      </c>
      <c r="L143" s="117">
        <v>0</v>
      </c>
      <c r="M143" s="117">
        <v>0</v>
      </c>
      <c r="P143" s="127">
        <f>P148</f>
        <v>48200</v>
      </c>
    </row>
    <row r="144" spans="1:16" x14ac:dyDescent="0.2">
      <c r="A144" s="117" t="s">
        <v>934</v>
      </c>
      <c r="J144" s="117" t="s">
        <v>99</v>
      </c>
      <c r="L144" s="132">
        <f>L141</f>
        <v>500000</v>
      </c>
      <c r="M144" s="132">
        <f>M141-M142</f>
        <v>455000</v>
      </c>
      <c r="N144" s="132">
        <f>N141-N142</f>
        <v>410000</v>
      </c>
      <c r="O144" s="132">
        <f>O141-O142</f>
        <v>365000</v>
      </c>
      <c r="P144" s="133">
        <f>K170</f>
        <v>316800</v>
      </c>
    </row>
    <row r="145" spans="1:16" x14ac:dyDescent="0.2">
      <c r="A145" s="117" t="s">
        <v>935</v>
      </c>
    </row>
    <row r="146" spans="1:16" x14ac:dyDescent="0.2">
      <c r="A146" s="117" t="s">
        <v>936</v>
      </c>
      <c r="J146" s="117" t="s">
        <v>100</v>
      </c>
      <c r="M146" s="117">
        <f>(M141-50000)/10</f>
        <v>45000</v>
      </c>
      <c r="N146" s="117">
        <f>M146</f>
        <v>45000</v>
      </c>
      <c r="O146" s="117">
        <f>N146</f>
        <v>45000</v>
      </c>
    </row>
    <row r="147" spans="1:16" x14ac:dyDescent="0.2">
      <c r="J147" s="117" t="s">
        <v>482</v>
      </c>
    </row>
    <row r="148" spans="1:16" x14ac:dyDescent="0.2">
      <c r="A148" s="117" t="s">
        <v>937</v>
      </c>
      <c r="J148" s="117" t="s">
        <v>891</v>
      </c>
      <c r="P148" s="127">
        <f>O144-P144</f>
        <v>48200</v>
      </c>
    </row>
    <row r="149" spans="1:16" x14ac:dyDescent="0.2">
      <c r="A149" s="117" t="s">
        <v>938</v>
      </c>
      <c r="J149" s="117" t="s">
        <v>892</v>
      </c>
    </row>
    <row r="150" spans="1:16" x14ac:dyDescent="0.2">
      <c r="A150" s="117" t="s">
        <v>939</v>
      </c>
    </row>
    <row r="151" spans="1:16" x14ac:dyDescent="0.2">
      <c r="A151" s="117" t="s">
        <v>940</v>
      </c>
      <c r="J151" s="117" t="s">
        <v>954</v>
      </c>
    </row>
    <row r="152" spans="1:16" x14ac:dyDescent="0.2">
      <c r="A152" s="117" t="s">
        <v>972</v>
      </c>
      <c r="J152" s="117" t="s">
        <v>958</v>
      </c>
    </row>
    <row r="153" spans="1:16" x14ac:dyDescent="0.2">
      <c r="K153" s="117" t="s">
        <v>955</v>
      </c>
      <c r="M153" s="127">
        <v>320000</v>
      </c>
    </row>
    <row r="154" spans="1:16" x14ac:dyDescent="0.2">
      <c r="A154" s="117" t="s">
        <v>941</v>
      </c>
      <c r="K154" s="117" t="s">
        <v>956</v>
      </c>
      <c r="M154" s="117">
        <f>-1%*M153</f>
        <v>-3200</v>
      </c>
    </row>
    <row r="155" spans="1:16" x14ac:dyDescent="0.2">
      <c r="A155" s="117" t="s">
        <v>942</v>
      </c>
      <c r="K155" s="117" t="s">
        <v>957</v>
      </c>
      <c r="M155" s="137">
        <f>M153+M154</f>
        <v>316800</v>
      </c>
    </row>
    <row r="157" spans="1:16" x14ac:dyDescent="0.2">
      <c r="A157" s="117" t="s">
        <v>943</v>
      </c>
      <c r="J157" s="117" t="s">
        <v>965</v>
      </c>
    </row>
    <row r="158" spans="1:16" x14ac:dyDescent="0.2">
      <c r="A158" s="117" t="s">
        <v>944</v>
      </c>
      <c r="J158" s="117" t="s">
        <v>960</v>
      </c>
      <c r="K158" s="117" t="s">
        <v>225</v>
      </c>
      <c r="L158" s="117" t="s">
        <v>959</v>
      </c>
      <c r="N158" s="117" t="s">
        <v>961</v>
      </c>
    </row>
    <row r="159" spans="1:16" x14ac:dyDescent="0.2">
      <c r="A159" s="117" t="s">
        <v>945</v>
      </c>
      <c r="J159" s="117">
        <v>1</v>
      </c>
      <c r="K159" s="117">
        <v>2010</v>
      </c>
      <c r="L159" s="127">
        <v>75000</v>
      </c>
      <c r="N159" s="117" t="s">
        <v>962</v>
      </c>
    </row>
    <row r="160" spans="1:16" x14ac:dyDescent="0.2">
      <c r="J160" s="117">
        <f>J159+1</f>
        <v>2</v>
      </c>
      <c r="K160" s="117">
        <f>K159+1</f>
        <v>2011</v>
      </c>
      <c r="L160" s="127">
        <f>L159*(1-3%)</f>
        <v>72750</v>
      </c>
      <c r="N160" s="117" t="s">
        <v>963</v>
      </c>
    </row>
    <row r="161" spans="1:14" x14ac:dyDescent="0.2">
      <c r="A161" s="117" t="s">
        <v>946</v>
      </c>
      <c r="J161" s="117">
        <f t="shared" ref="J161:J163" si="1">J160+1</f>
        <v>3</v>
      </c>
      <c r="K161" s="117">
        <f t="shared" ref="K161:K163" si="2">K160+1</f>
        <v>2012</v>
      </c>
      <c r="L161" s="127">
        <f t="shared" ref="L161:L163" si="3">L160*(1-3%)</f>
        <v>70567.5</v>
      </c>
      <c r="N161" s="117" t="s">
        <v>964</v>
      </c>
    </row>
    <row r="162" spans="1:14" x14ac:dyDescent="0.2">
      <c r="A162" s="117" t="s">
        <v>947</v>
      </c>
      <c r="J162" s="117">
        <f t="shared" si="1"/>
        <v>4</v>
      </c>
      <c r="K162" s="117">
        <f t="shared" si="2"/>
        <v>2013</v>
      </c>
      <c r="L162" s="127">
        <f t="shared" si="3"/>
        <v>68450.474999999991</v>
      </c>
    </row>
    <row r="163" spans="1:14" x14ac:dyDescent="0.2">
      <c r="J163" s="117">
        <f t="shared" si="1"/>
        <v>5</v>
      </c>
      <c r="K163" s="117">
        <f t="shared" si="2"/>
        <v>2014</v>
      </c>
      <c r="L163" s="127">
        <f t="shared" si="3"/>
        <v>66396.960749999984</v>
      </c>
    </row>
    <row r="164" spans="1:14" x14ac:dyDescent="0.2">
      <c r="A164" s="117" t="s">
        <v>948</v>
      </c>
    </row>
    <row r="165" spans="1:14" x14ac:dyDescent="0.2">
      <c r="K165" s="117" t="s">
        <v>966</v>
      </c>
      <c r="L165" s="136">
        <v>0.08</v>
      </c>
      <c r="M165" s="117" t="s">
        <v>967</v>
      </c>
    </row>
    <row r="166" spans="1:14" x14ac:dyDescent="0.2">
      <c r="A166" s="117" t="s">
        <v>949</v>
      </c>
    </row>
    <row r="167" spans="1:14" x14ac:dyDescent="0.2">
      <c r="J167" s="117" t="s">
        <v>969</v>
      </c>
      <c r="L167" s="137">
        <f>NPV(L165,L159:L163)</f>
        <v>283336.39867324685</v>
      </c>
      <c r="M167" s="117" t="s">
        <v>968</v>
      </c>
    </row>
    <row r="168" spans="1:14" x14ac:dyDescent="0.2">
      <c r="A168" s="117" t="s">
        <v>60</v>
      </c>
    </row>
    <row r="169" spans="1:14" x14ac:dyDescent="0.2">
      <c r="A169" s="117" t="s">
        <v>950</v>
      </c>
      <c r="J169" s="117" t="s">
        <v>970</v>
      </c>
    </row>
    <row r="170" spans="1:14" x14ac:dyDescent="0.2">
      <c r="A170" s="117" t="s">
        <v>951</v>
      </c>
      <c r="K170" s="138">
        <f>MAX(L167,M155)</f>
        <v>316800</v>
      </c>
      <c r="M170" s="117" t="s">
        <v>971</v>
      </c>
    </row>
    <row r="172" spans="1:14" x14ac:dyDescent="0.2">
      <c r="A172" s="3" t="s">
        <v>973</v>
      </c>
      <c r="B172" s="41"/>
      <c r="C172" s="41"/>
      <c r="D172" s="41"/>
      <c r="E172" s="41"/>
      <c r="F172" s="41"/>
      <c r="G172" s="41"/>
      <c r="H172" s="41"/>
    </row>
    <row r="173" spans="1:14" x14ac:dyDescent="0.2">
      <c r="A173" s="1" t="s">
        <v>974</v>
      </c>
      <c r="B173" s="1"/>
      <c r="C173" s="1"/>
      <c r="D173" s="1"/>
      <c r="E173" s="1"/>
      <c r="F173" s="1"/>
      <c r="G173" s="1"/>
      <c r="H173" s="1"/>
    </row>
    <row r="174" spans="1:14" x14ac:dyDescent="0.2">
      <c r="A174" s="1" t="s">
        <v>975</v>
      </c>
      <c r="B174" s="1"/>
      <c r="C174" s="1"/>
      <c r="D174" s="1"/>
      <c r="E174" s="1"/>
      <c r="F174" s="1"/>
      <c r="G174" s="1"/>
      <c r="H174" s="1"/>
    </row>
    <row r="175" spans="1:14" x14ac:dyDescent="0.2">
      <c r="A175" s="1" t="s">
        <v>976</v>
      </c>
      <c r="B175" s="1"/>
      <c r="C175" s="1"/>
      <c r="D175" s="1"/>
      <c r="E175" s="1"/>
      <c r="F175" s="1"/>
      <c r="G175" s="1"/>
      <c r="H175" s="1"/>
    </row>
    <row r="176" spans="1:14" x14ac:dyDescent="0.2">
      <c r="A176" s="1" t="s">
        <v>977</v>
      </c>
      <c r="B176" s="1"/>
      <c r="C176" s="1"/>
      <c r="D176" s="1"/>
      <c r="E176" s="1"/>
      <c r="F176" s="1"/>
      <c r="G176" s="1"/>
      <c r="H176" s="1"/>
    </row>
    <row r="177" spans="1:8" x14ac:dyDescent="0.2">
      <c r="A177" s="1" t="s">
        <v>978</v>
      </c>
      <c r="B177" s="1"/>
      <c r="C177" s="1"/>
      <c r="D177" s="1"/>
      <c r="E177" s="1"/>
      <c r="F177" s="1"/>
      <c r="G177" s="1"/>
      <c r="H177" s="1"/>
    </row>
    <row r="178" spans="1:8" x14ac:dyDescent="0.2">
      <c r="A178" s="1" t="s">
        <v>979</v>
      </c>
      <c r="B178" s="1"/>
      <c r="C178" s="1"/>
      <c r="D178" s="1"/>
      <c r="E178" s="1"/>
      <c r="F178" s="1"/>
      <c r="G178" s="1"/>
      <c r="H178" s="1"/>
    </row>
    <row r="179" spans="1:8" x14ac:dyDescent="0.2">
      <c r="A179" s="1" t="s">
        <v>980</v>
      </c>
      <c r="B179" s="1"/>
      <c r="C179" s="1"/>
      <c r="D179" s="1"/>
      <c r="E179" s="1"/>
      <c r="F179" s="1"/>
      <c r="G179" s="1"/>
      <c r="H179" s="1"/>
    </row>
    <row r="180" spans="1:8" x14ac:dyDescent="0.2">
      <c r="A180" s="1" t="s">
        <v>981</v>
      </c>
      <c r="B180" s="1"/>
      <c r="C180" s="1"/>
      <c r="D180" s="1"/>
      <c r="E180" s="1"/>
      <c r="F180" s="1"/>
      <c r="G180" s="1"/>
      <c r="H180" s="1"/>
    </row>
    <row r="181" spans="1:8" x14ac:dyDescent="0.2">
      <c r="A181" s="1" t="s">
        <v>982</v>
      </c>
      <c r="B181" s="1"/>
      <c r="C181" s="1"/>
      <c r="D181" s="1"/>
      <c r="E181" s="1"/>
      <c r="F181" s="1"/>
      <c r="G181" s="1"/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 t="s">
        <v>983</v>
      </c>
      <c r="B183" s="1"/>
      <c r="C183" s="1"/>
      <c r="D183" s="1"/>
      <c r="E183" s="1"/>
      <c r="F183" s="1"/>
      <c r="G183" s="1"/>
      <c r="H183" s="1"/>
    </row>
    <row r="184" spans="1:8" x14ac:dyDescent="0.2">
      <c r="A184" s="1" t="s">
        <v>984</v>
      </c>
      <c r="B184" s="1"/>
      <c r="C184" s="1"/>
      <c r="D184" s="1"/>
      <c r="E184" s="1"/>
      <c r="F184" s="1"/>
      <c r="G184" s="1"/>
      <c r="H184" s="1"/>
    </row>
    <row r="185" spans="1:8" x14ac:dyDescent="0.2">
      <c r="A185" s="1" t="s">
        <v>985</v>
      </c>
      <c r="B185" s="1"/>
      <c r="C185" s="1"/>
      <c r="D185" s="1"/>
      <c r="E185" s="1"/>
      <c r="F185" s="1"/>
      <c r="G185" s="1"/>
      <c r="H185" s="1"/>
    </row>
    <row r="186" spans="1:8" x14ac:dyDescent="0.2">
      <c r="A186" s="1" t="s">
        <v>986</v>
      </c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 t="s">
        <v>987</v>
      </c>
      <c r="B188" s="1"/>
      <c r="C188" s="1"/>
      <c r="D188" s="1"/>
      <c r="E188" s="1"/>
      <c r="F188" s="1"/>
      <c r="G188" s="1"/>
      <c r="H188" s="1"/>
    </row>
    <row r="189" spans="1:8" x14ac:dyDescent="0.2">
      <c r="A189" s="1" t="s">
        <v>988</v>
      </c>
      <c r="B189" s="1"/>
      <c r="C189" s="1"/>
      <c r="D189" s="1"/>
      <c r="E189" s="1"/>
      <c r="F189" s="1"/>
      <c r="G189" s="1"/>
      <c r="H189" s="1"/>
    </row>
    <row r="190" spans="1:8" x14ac:dyDescent="0.2">
      <c r="A190" s="1" t="s">
        <v>989</v>
      </c>
      <c r="B190" s="1"/>
      <c r="C190" s="1"/>
      <c r="D190" s="1"/>
      <c r="E190" s="1"/>
      <c r="F190" s="1"/>
      <c r="G190" s="1"/>
      <c r="H190" s="1"/>
    </row>
    <row r="191" spans="1:8" x14ac:dyDescent="0.2">
      <c r="A191" s="1" t="s">
        <v>990</v>
      </c>
      <c r="B191" s="1"/>
      <c r="C191" s="1"/>
      <c r="D191" s="1"/>
      <c r="E191" s="1"/>
      <c r="F191" s="1"/>
      <c r="G191" s="1"/>
      <c r="H191" s="1"/>
    </row>
    <row r="192" spans="1:8" x14ac:dyDescent="0.2">
      <c r="A192" s="1"/>
      <c r="B192" s="1"/>
      <c r="C192" s="1"/>
      <c r="D192" s="1"/>
      <c r="E192" s="1"/>
      <c r="F192" s="1"/>
      <c r="G192" s="1"/>
      <c r="H192" s="1"/>
    </row>
    <row r="193" spans="1:8" x14ac:dyDescent="0.2">
      <c r="A193" s="1" t="s">
        <v>991</v>
      </c>
      <c r="B193" s="1"/>
      <c r="C193" s="1"/>
      <c r="D193" s="1"/>
      <c r="E193" s="1"/>
      <c r="F193" s="1"/>
      <c r="G193" s="1"/>
      <c r="H193" s="1"/>
    </row>
    <row r="194" spans="1:8" x14ac:dyDescent="0.2">
      <c r="A194" s="1" t="s">
        <v>992</v>
      </c>
      <c r="B194" s="1"/>
      <c r="C194" s="1"/>
      <c r="D194" s="1"/>
      <c r="E194" s="1"/>
      <c r="F194" s="1"/>
      <c r="G194" s="1"/>
      <c r="H194" s="1"/>
    </row>
    <row r="195" spans="1:8" x14ac:dyDescent="0.2">
      <c r="A195" s="1" t="s">
        <v>993</v>
      </c>
      <c r="B195" s="1"/>
      <c r="C195" s="1"/>
      <c r="D195" s="1"/>
      <c r="E195" s="1"/>
      <c r="F195" s="1"/>
      <c r="G195" s="1"/>
      <c r="H195" s="1"/>
    </row>
    <row r="196" spans="1:8" x14ac:dyDescent="0.2">
      <c r="A196" s="1" t="s">
        <v>994</v>
      </c>
      <c r="B196" s="1"/>
      <c r="C196" s="1"/>
      <c r="D196" s="1"/>
      <c r="E196" s="1"/>
      <c r="F196" s="1"/>
      <c r="G196" s="1"/>
      <c r="H196" s="1"/>
    </row>
    <row r="197" spans="1:8" x14ac:dyDescent="0.2">
      <c r="A197" s="1"/>
      <c r="B197" s="1"/>
      <c r="C197" s="1"/>
      <c r="D197" s="1"/>
      <c r="E197" s="1"/>
      <c r="F197" s="1"/>
      <c r="G197" s="1"/>
      <c r="H197" s="1"/>
    </row>
    <row r="198" spans="1:8" x14ac:dyDescent="0.2">
      <c r="A198" s="1" t="s">
        <v>995</v>
      </c>
      <c r="B198" s="1"/>
      <c r="C198" s="1"/>
      <c r="D198" s="1"/>
      <c r="E198" s="1"/>
      <c r="F198" s="1"/>
      <c r="G198" s="1"/>
      <c r="H198" s="1"/>
    </row>
    <row r="199" spans="1:8" x14ac:dyDescent="0.2">
      <c r="A199" s="1"/>
      <c r="B199" s="1"/>
      <c r="C199" s="1"/>
      <c r="D199" s="1"/>
      <c r="E199" s="1"/>
      <c r="F199" s="1"/>
      <c r="G199" s="1"/>
      <c r="H199" s="1"/>
    </row>
    <row r="200" spans="1:8" x14ac:dyDescent="0.2">
      <c r="A200" s="1" t="s">
        <v>996</v>
      </c>
      <c r="B200" s="1"/>
      <c r="C200" s="1"/>
      <c r="D200" s="1"/>
      <c r="E200" s="1"/>
      <c r="F200" s="1"/>
      <c r="G200" s="1"/>
      <c r="H200" s="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1F0488-9779-874B-B234-4060E442DD7C}">
  <dimension ref="A1:Y106"/>
  <sheetViews>
    <sheetView rightToLeft="1" topLeftCell="A48" zoomScale="140" zoomScaleNormal="140" workbookViewId="0">
      <selection activeCell="A66" sqref="A66"/>
    </sheetView>
  </sheetViews>
  <sheetFormatPr baseColWidth="10" defaultRowHeight="16" x14ac:dyDescent="0.2"/>
  <cols>
    <col min="12" max="12" width="11.5" customWidth="1"/>
  </cols>
  <sheetData>
    <row r="1" spans="1:18" x14ac:dyDescent="0.2">
      <c r="A1" t="s">
        <v>997</v>
      </c>
    </row>
    <row r="5" spans="1:18" s="117" customFormat="1" x14ac:dyDescent="0.2">
      <c r="A5" s="3" t="s">
        <v>973</v>
      </c>
      <c r="B5" s="41"/>
      <c r="C5" s="41"/>
      <c r="D5" s="41"/>
      <c r="E5" s="41"/>
      <c r="F5" s="41"/>
      <c r="G5" s="41"/>
      <c r="H5" s="41"/>
    </row>
    <row r="6" spans="1:18" s="117" customFormat="1" x14ac:dyDescent="0.2">
      <c r="A6" s="1" t="s">
        <v>974</v>
      </c>
      <c r="B6" s="1"/>
      <c r="C6" s="1"/>
      <c r="D6" s="1"/>
      <c r="E6" s="1"/>
      <c r="F6" s="1"/>
      <c r="G6" s="1"/>
      <c r="H6" s="1"/>
    </row>
    <row r="7" spans="1:18" s="117" customFormat="1" x14ac:dyDescent="0.2">
      <c r="A7" s="1" t="s">
        <v>975</v>
      </c>
      <c r="B7" s="1"/>
      <c r="C7" s="1"/>
      <c r="D7" s="1"/>
      <c r="E7" s="1"/>
      <c r="F7" s="1"/>
      <c r="G7" s="1"/>
      <c r="H7" s="1"/>
      <c r="N7" s="139" t="s">
        <v>296</v>
      </c>
      <c r="O7" s="117" t="s">
        <v>659</v>
      </c>
      <c r="P7" s="139" t="s">
        <v>296</v>
      </c>
      <c r="Q7" s="117" t="s">
        <v>659</v>
      </c>
    </row>
    <row r="8" spans="1:18" s="117" customFormat="1" x14ac:dyDescent="0.2">
      <c r="A8" s="1" t="s">
        <v>976</v>
      </c>
      <c r="B8" s="1"/>
      <c r="C8" s="1"/>
      <c r="D8" s="1"/>
      <c r="E8" s="1"/>
      <c r="F8" s="1"/>
      <c r="G8" s="1"/>
      <c r="H8" s="1"/>
      <c r="N8" s="139" t="s">
        <v>893</v>
      </c>
      <c r="O8" s="117" t="s">
        <v>998</v>
      </c>
      <c r="P8" s="139" t="s">
        <v>893</v>
      </c>
      <c r="Q8" s="117" t="s">
        <v>998</v>
      </c>
    </row>
    <row r="9" spans="1:18" s="117" customFormat="1" x14ac:dyDescent="0.2">
      <c r="A9" s="1" t="s">
        <v>977</v>
      </c>
      <c r="B9" s="1"/>
      <c r="C9" s="1"/>
      <c r="D9" s="1"/>
      <c r="E9" s="1"/>
      <c r="F9" s="1"/>
      <c r="G9" s="1"/>
      <c r="H9" s="1"/>
      <c r="K9" s="141">
        <v>39814</v>
      </c>
      <c r="L9" s="141">
        <v>40178</v>
      </c>
      <c r="M9" s="141">
        <v>40543</v>
      </c>
      <c r="N9" s="142">
        <v>40908</v>
      </c>
      <c r="O9" s="141">
        <v>40908</v>
      </c>
      <c r="P9" s="142">
        <v>41274</v>
      </c>
      <c r="Q9" s="141">
        <v>41274</v>
      </c>
      <c r="R9" s="141">
        <v>41639</v>
      </c>
    </row>
    <row r="10" spans="1:18" s="117" customFormat="1" x14ac:dyDescent="0.2">
      <c r="A10" s="1" t="s">
        <v>978</v>
      </c>
      <c r="B10" s="1"/>
      <c r="C10" s="1"/>
      <c r="D10" s="1"/>
      <c r="E10" s="1"/>
      <c r="F10" s="1"/>
      <c r="G10" s="1"/>
      <c r="H10" s="1"/>
      <c r="J10" s="117" t="s">
        <v>95</v>
      </c>
      <c r="K10" s="127">
        <v>800000</v>
      </c>
      <c r="L10" s="127">
        <f t="shared" ref="L10:R10" si="0">K10</f>
        <v>800000</v>
      </c>
      <c r="M10" s="127">
        <f t="shared" si="0"/>
        <v>800000</v>
      </c>
      <c r="N10" s="140">
        <f t="shared" si="0"/>
        <v>800000</v>
      </c>
      <c r="O10" s="127">
        <f t="shared" si="0"/>
        <v>800000</v>
      </c>
      <c r="P10" s="140">
        <f t="shared" si="0"/>
        <v>800000</v>
      </c>
      <c r="Q10" s="127">
        <f t="shared" si="0"/>
        <v>800000</v>
      </c>
      <c r="R10" s="127">
        <f t="shared" si="0"/>
        <v>800000</v>
      </c>
    </row>
    <row r="11" spans="1:18" s="117" customFormat="1" x14ac:dyDescent="0.2">
      <c r="A11" s="1" t="s">
        <v>979</v>
      </c>
      <c r="B11" s="1"/>
      <c r="C11" s="1"/>
      <c r="D11" s="1"/>
      <c r="E11" s="1"/>
      <c r="F11" s="1"/>
      <c r="G11" s="1"/>
      <c r="H11" s="1"/>
      <c r="J11" s="117" t="s">
        <v>96</v>
      </c>
      <c r="K11" s="117">
        <v>0</v>
      </c>
      <c r="L11" s="127">
        <f>-L15</f>
        <v>-114285.71428571429</v>
      </c>
      <c r="M11" s="127">
        <f>L11-M15</f>
        <v>-251428.57142857142</v>
      </c>
      <c r="N11" s="140">
        <f>M11-N15</f>
        <v>-388571.42857142852</v>
      </c>
      <c r="O11" s="127">
        <f>N11</f>
        <v>-388571.42857142852</v>
      </c>
      <c r="P11" s="140">
        <f>O11-P15+O12/3</f>
        <v>-525714.28571428568</v>
      </c>
      <c r="Q11" s="127">
        <f>P11</f>
        <v>-525714.28571428568</v>
      </c>
      <c r="R11" s="127">
        <f>Q11-R15</f>
        <v>-662857.14285714284</v>
      </c>
    </row>
    <row r="12" spans="1:18" s="117" customFormat="1" x14ac:dyDescent="0.2">
      <c r="A12" s="1" t="s">
        <v>980</v>
      </c>
      <c r="B12" s="1"/>
      <c r="C12" s="1"/>
      <c r="D12" s="1"/>
      <c r="E12" s="1"/>
      <c r="F12" s="1"/>
      <c r="G12" s="1"/>
      <c r="H12" s="1"/>
      <c r="J12" s="117" t="s">
        <v>718</v>
      </c>
      <c r="K12" s="117">
        <v>0</v>
      </c>
      <c r="L12" s="117">
        <v>0</v>
      </c>
      <c r="N12" s="139"/>
      <c r="O12" s="127">
        <f>O13-N13</f>
        <v>-131428.57142857148</v>
      </c>
      <c r="P12" s="140">
        <f>O12*2/3</f>
        <v>-87619.047619047647</v>
      </c>
      <c r="Q12" s="127">
        <v>0</v>
      </c>
      <c r="R12" s="127">
        <v>0</v>
      </c>
    </row>
    <row r="13" spans="1:18" s="117" customFormat="1" x14ac:dyDescent="0.2">
      <c r="A13" s="1" t="s">
        <v>981</v>
      </c>
      <c r="B13" s="1"/>
      <c r="C13" s="1"/>
      <c r="D13" s="1"/>
      <c r="E13" s="1"/>
      <c r="F13" s="1"/>
      <c r="G13" s="1"/>
      <c r="H13" s="1"/>
      <c r="J13" s="117" t="s">
        <v>99</v>
      </c>
      <c r="K13" s="127">
        <f>K10</f>
        <v>800000</v>
      </c>
      <c r="L13" s="127">
        <f>L10+L11+L12</f>
        <v>685714.28571428568</v>
      </c>
      <c r="M13" s="127">
        <f>M10+M11+M12</f>
        <v>548571.42857142864</v>
      </c>
      <c r="N13" s="140">
        <f>N10+N11+N12</f>
        <v>411428.57142857148</v>
      </c>
      <c r="O13" s="137">
        <f>L28</f>
        <v>280000</v>
      </c>
      <c r="P13" s="140">
        <f>P10+P11+P12</f>
        <v>186666.66666666669</v>
      </c>
      <c r="Q13" s="137">
        <f>Q10+Q11+Q12</f>
        <v>274285.71428571432</v>
      </c>
      <c r="R13" s="137">
        <f>R10+R11+R12</f>
        <v>137142.85714285716</v>
      </c>
    </row>
    <row r="14" spans="1:18" s="117" customFormat="1" x14ac:dyDescent="0.2">
      <c r="A14" s="1" t="s">
        <v>982</v>
      </c>
      <c r="B14" s="1"/>
      <c r="C14" s="1"/>
      <c r="D14" s="1"/>
      <c r="E14" s="1"/>
      <c r="F14" s="1"/>
      <c r="G14" s="1"/>
      <c r="H14" s="1"/>
      <c r="N14" s="139"/>
      <c r="P14" s="139"/>
    </row>
    <row r="15" spans="1:18" s="117" customFormat="1" x14ac:dyDescent="0.2">
      <c r="A15" s="1"/>
      <c r="B15" s="1"/>
      <c r="C15" s="1"/>
      <c r="D15" s="1"/>
      <c r="E15" s="1"/>
      <c r="F15" s="1"/>
      <c r="G15" s="1"/>
      <c r="H15" s="1"/>
      <c r="J15" s="117" t="s">
        <v>100</v>
      </c>
      <c r="L15" s="127">
        <f>K10/7</f>
        <v>114285.71428571429</v>
      </c>
      <c r="M15" s="127">
        <f>L13/5</f>
        <v>137142.85714285713</v>
      </c>
      <c r="N15" s="140">
        <f>M15</f>
        <v>137142.85714285713</v>
      </c>
      <c r="O15" s="127">
        <f>N15</f>
        <v>137142.85714285713</v>
      </c>
      <c r="P15" s="140">
        <f>O13/3</f>
        <v>93333.333333333328</v>
      </c>
      <c r="Q15" s="127">
        <f>P15</f>
        <v>93333.333333333328</v>
      </c>
      <c r="R15" s="127">
        <f>Q13/2</f>
        <v>137142.85714285716</v>
      </c>
    </row>
    <row r="16" spans="1:18" s="117" customFormat="1" x14ac:dyDescent="0.2">
      <c r="A16" s="1" t="s">
        <v>983</v>
      </c>
      <c r="B16" s="1"/>
      <c r="C16" s="1"/>
      <c r="D16" s="1"/>
      <c r="E16" s="1"/>
      <c r="F16" s="1"/>
      <c r="G16" s="1"/>
      <c r="H16" s="1"/>
      <c r="J16" s="117" t="s">
        <v>891</v>
      </c>
      <c r="N16" s="139"/>
      <c r="O16" s="127">
        <f>-O12</f>
        <v>131428.57142857148</v>
      </c>
      <c r="P16" s="139"/>
      <c r="Q16" s="127"/>
      <c r="R16" s="127"/>
    </row>
    <row r="17" spans="1:18" s="117" customFormat="1" x14ac:dyDescent="0.2">
      <c r="A17" s="117" t="s">
        <v>999</v>
      </c>
      <c r="B17" s="1"/>
      <c r="C17" s="1"/>
      <c r="D17" s="1"/>
      <c r="E17" s="1"/>
      <c r="F17" s="1"/>
      <c r="G17" s="1"/>
      <c r="H17" s="1"/>
      <c r="J17" s="117" t="s">
        <v>892</v>
      </c>
      <c r="N17" s="139"/>
      <c r="P17" s="139"/>
      <c r="Q17" s="127">
        <f>-P12</f>
        <v>87619.047619047647</v>
      </c>
      <c r="R17" s="127"/>
    </row>
    <row r="18" spans="1:18" s="117" customFormat="1" x14ac:dyDescent="0.2">
      <c r="A18" s="1" t="s">
        <v>985</v>
      </c>
      <c r="B18" s="1"/>
      <c r="C18" s="1"/>
      <c r="D18" s="1"/>
      <c r="E18" s="1"/>
      <c r="F18" s="1"/>
      <c r="G18" s="1"/>
      <c r="H18" s="1"/>
    </row>
    <row r="19" spans="1:18" s="117" customFormat="1" x14ac:dyDescent="0.2">
      <c r="A19" s="1" t="s">
        <v>986</v>
      </c>
      <c r="B19" s="1"/>
      <c r="C19" s="1"/>
      <c r="D19" s="1"/>
      <c r="E19" s="1"/>
      <c r="F19" s="1"/>
      <c r="G19" s="1"/>
      <c r="H19" s="1"/>
      <c r="J19" s="117" t="s">
        <v>1000</v>
      </c>
      <c r="L19" s="126">
        <v>40908</v>
      </c>
      <c r="M19" s="126">
        <v>41274</v>
      </c>
    </row>
    <row r="20" spans="1:18" s="117" customFormat="1" x14ac:dyDescent="0.2">
      <c r="A20" s="1"/>
      <c r="B20" s="1"/>
      <c r="C20" s="1"/>
      <c r="D20" s="1"/>
      <c r="E20" s="1"/>
      <c r="F20" s="1"/>
      <c r="G20" s="1"/>
      <c r="H20" s="1"/>
      <c r="L20" s="127">
        <v>60000</v>
      </c>
      <c r="M20" s="127">
        <v>0</v>
      </c>
    </row>
    <row r="21" spans="1:18" s="117" customFormat="1" x14ac:dyDescent="0.2">
      <c r="A21" s="1" t="s">
        <v>987</v>
      </c>
      <c r="B21" s="1"/>
      <c r="C21" s="1"/>
      <c r="D21" s="1"/>
      <c r="E21" s="1"/>
      <c r="F21" s="1"/>
      <c r="G21" s="1"/>
      <c r="H21" s="1"/>
      <c r="L21" s="127">
        <v>50000</v>
      </c>
      <c r="M21" s="127">
        <v>-20000</v>
      </c>
    </row>
    <row r="22" spans="1:18" s="117" customFormat="1" x14ac:dyDescent="0.2">
      <c r="A22" s="1" t="s">
        <v>988</v>
      </c>
      <c r="B22" s="1"/>
      <c r="C22" s="1"/>
      <c r="D22" s="1"/>
      <c r="E22" s="1"/>
      <c r="F22" s="1"/>
      <c r="G22" s="1"/>
      <c r="H22" s="1"/>
      <c r="L22" s="127">
        <v>40000</v>
      </c>
      <c r="M22" s="127"/>
    </row>
    <row r="23" spans="1:18" s="117" customFormat="1" x14ac:dyDescent="0.2">
      <c r="A23" s="1" t="s">
        <v>989</v>
      </c>
      <c r="B23" s="1"/>
      <c r="C23" s="1"/>
      <c r="D23" s="1"/>
      <c r="E23" s="1"/>
      <c r="F23" s="1"/>
      <c r="G23" s="1"/>
      <c r="H23" s="1"/>
    </row>
    <row r="24" spans="1:18" s="117" customFormat="1" x14ac:dyDescent="0.2">
      <c r="A24" s="1" t="s">
        <v>990</v>
      </c>
      <c r="B24" s="1"/>
      <c r="C24" s="1"/>
      <c r="D24" s="1"/>
      <c r="E24" s="1"/>
      <c r="F24" s="1"/>
      <c r="G24" s="1"/>
      <c r="H24" s="1"/>
      <c r="J24" s="117" t="s">
        <v>1001</v>
      </c>
      <c r="L24" s="136">
        <v>0.08</v>
      </c>
      <c r="M24" s="136">
        <v>0.08</v>
      </c>
    </row>
    <row r="25" spans="1:18" s="117" customFormat="1" x14ac:dyDescent="0.2">
      <c r="A25" s="1"/>
      <c r="B25" s="1"/>
      <c r="C25" s="1"/>
      <c r="D25" s="1"/>
      <c r="E25" s="1"/>
      <c r="F25" s="1"/>
      <c r="G25" s="1"/>
      <c r="H25" s="1"/>
    </row>
    <row r="26" spans="1:18" s="117" customFormat="1" x14ac:dyDescent="0.2">
      <c r="A26" s="1" t="s">
        <v>991</v>
      </c>
      <c r="B26" s="1"/>
      <c r="C26" s="1"/>
      <c r="D26" s="1"/>
      <c r="E26" s="1"/>
      <c r="F26" s="1"/>
      <c r="G26" s="1"/>
      <c r="H26" s="1"/>
      <c r="J26" s="117" t="s">
        <v>1002</v>
      </c>
      <c r="L26" s="127">
        <f>NPV(L24,L20:L22)</f>
        <v>130175.7862114515</v>
      </c>
      <c r="M26" s="127">
        <f>NPV(M24,M20:M22)</f>
        <v>-17146.776406035664</v>
      </c>
    </row>
    <row r="27" spans="1:18" s="117" customFormat="1" x14ac:dyDescent="0.2">
      <c r="A27" s="1" t="s">
        <v>992</v>
      </c>
      <c r="B27" s="1"/>
      <c r="C27" s="1"/>
      <c r="D27" s="1"/>
      <c r="E27" s="1"/>
      <c r="F27" s="1"/>
      <c r="G27" s="1"/>
      <c r="H27" s="1"/>
      <c r="J27" s="117" t="s">
        <v>957</v>
      </c>
      <c r="L27" s="127">
        <v>280000</v>
      </c>
      <c r="M27" s="127">
        <f>440000-30000</f>
        <v>410000</v>
      </c>
    </row>
    <row r="28" spans="1:18" s="117" customFormat="1" x14ac:dyDescent="0.2">
      <c r="A28" s="1" t="s">
        <v>993</v>
      </c>
      <c r="B28" s="1"/>
      <c r="C28" s="1"/>
      <c r="D28" s="1"/>
      <c r="E28" s="1"/>
      <c r="F28" s="1"/>
      <c r="G28" s="1"/>
      <c r="H28" s="1"/>
      <c r="J28" s="117" t="s">
        <v>1003</v>
      </c>
      <c r="L28" s="137">
        <f>MAX(L26:L27)</f>
        <v>280000</v>
      </c>
      <c r="M28" s="137">
        <f>MAX(M26:M27)</f>
        <v>410000</v>
      </c>
    </row>
    <row r="29" spans="1:18" s="117" customFormat="1" x14ac:dyDescent="0.2">
      <c r="A29" s="1" t="s">
        <v>994</v>
      </c>
      <c r="B29" s="1"/>
      <c r="C29" s="1"/>
      <c r="D29" s="143" t="s">
        <v>1004</v>
      </c>
      <c r="E29" s="1"/>
      <c r="F29" s="1"/>
      <c r="G29" s="1"/>
      <c r="H29" s="1"/>
    </row>
    <row r="30" spans="1:18" s="117" customFormat="1" x14ac:dyDescent="0.2">
      <c r="A30" s="1"/>
      <c r="B30" s="1"/>
      <c r="C30" s="1"/>
      <c r="D30" s="1"/>
      <c r="E30" s="1"/>
      <c r="F30" s="1"/>
      <c r="G30" s="1"/>
      <c r="H30" s="1"/>
    </row>
    <row r="31" spans="1:18" s="117" customFormat="1" x14ac:dyDescent="0.2">
      <c r="A31" s="1" t="s">
        <v>995</v>
      </c>
      <c r="B31" s="1"/>
      <c r="C31" s="1"/>
      <c r="D31" s="1"/>
      <c r="E31" s="1"/>
      <c r="F31" s="1"/>
      <c r="G31" s="1"/>
      <c r="H31" s="1"/>
    </row>
    <row r="32" spans="1:18" s="117" customFormat="1" x14ac:dyDescent="0.2">
      <c r="A32" s="1"/>
      <c r="B32" s="1"/>
      <c r="C32" s="1"/>
      <c r="D32" s="1"/>
      <c r="E32" s="1"/>
      <c r="F32" s="1"/>
      <c r="G32" s="1"/>
      <c r="H32" s="1"/>
    </row>
    <row r="33" spans="1:24" s="117" customFormat="1" x14ac:dyDescent="0.2">
      <c r="A33" s="1" t="s">
        <v>996</v>
      </c>
      <c r="B33" s="1"/>
      <c r="C33" s="1"/>
      <c r="D33" s="1"/>
      <c r="E33" s="1"/>
      <c r="F33" s="1"/>
      <c r="G33" s="1"/>
      <c r="H33" s="1"/>
    </row>
    <row r="34" spans="1:24" s="117" customFormat="1" x14ac:dyDescent="0.2"/>
    <row r="35" spans="1:24" s="117" customFormat="1" x14ac:dyDescent="0.2">
      <c r="A35" s="144" t="s">
        <v>1043</v>
      </c>
      <c r="B35" s="144"/>
      <c r="C35" s="144"/>
      <c r="D35" s="144"/>
      <c r="E35" s="144"/>
      <c r="F35" s="144"/>
      <c r="G35" s="144"/>
      <c r="H35" s="144"/>
    </row>
    <row r="36" spans="1:24" s="117" customFormat="1" x14ac:dyDescent="0.2">
      <c r="A36" s="117" t="s">
        <v>1005</v>
      </c>
    </row>
    <row r="37" spans="1:24" s="117" customFormat="1" x14ac:dyDescent="0.2">
      <c r="A37" s="117" t="s">
        <v>1006</v>
      </c>
    </row>
    <row r="38" spans="1:24" s="117" customFormat="1" x14ac:dyDescent="0.2">
      <c r="A38" s="117" t="s">
        <v>1007</v>
      </c>
    </row>
    <row r="39" spans="1:24" s="117" customFormat="1" x14ac:dyDescent="0.2">
      <c r="O39" s="130" t="s">
        <v>893</v>
      </c>
    </row>
    <row r="40" spans="1:24" s="117" customFormat="1" x14ac:dyDescent="0.2">
      <c r="A40" s="117" t="s">
        <v>1008</v>
      </c>
      <c r="J40" s="119" t="s">
        <v>1023</v>
      </c>
      <c r="L40" s="130"/>
      <c r="M40" s="152" t="s">
        <v>893</v>
      </c>
      <c r="N40" s="130" t="s">
        <v>659</v>
      </c>
      <c r="O40" s="130" t="s">
        <v>1052</v>
      </c>
      <c r="P40" s="152" t="s">
        <v>893</v>
      </c>
      <c r="Q40" s="130" t="s">
        <v>659</v>
      </c>
      <c r="S40" s="119" t="s">
        <v>1053</v>
      </c>
    </row>
    <row r="41" spans="1:24" s="117" customFormat="1" x14ac:dyDescent="0.2">
      <c r="A41" s="117" t="s">
        <v>1009</v>
      </c>
      <c r="K41" s="128">
        <v>39448</v>
      </c>
      <c r="L41" s="128">
        <v>39813</v>
      </c>
      <c r="M41" s="150">
        <v>40178</v>
      </c>
      <c r="N41" s="128">
        <v>40178</v>
      </c>
      <c r="O41" s="128">
        <v>40543</v>
      </c>
      <c r="P41" s="150">
        <v>40908</v>
      </c>
      <c r="Q41" s="128">
        <v>40908</v>
      </c>
      <c r="U41" s="128">
        <v>39813</v>
      </c>
      <c r="V41" s="128">
        <v>40178</v>
      </c>
      <c r="W41" s="128">
        <v>40543</v>
      </c>
      <c r="X41" s="128">
        <v>40908</v>
      </c>
    </row>
    <row r="42" spans="1:24" s="117" customFormat="1" x14ac:dyDescent="0.2">
      <c r="A42" s="117" t="s">
        <v>1010</v>
      </c>
      <c r="J42" s="117" t="s">
        <v>95</v>
      </c>
      <c r="K42" s="129">
        <v>5400</v>
      </c>
      <c r="L42" s="129">
        <f t="shared" ref="L42:Q42" si="1">K42</f>
        <v>5400</v>
      </c>
      <c r="M42" s="151">
        <f t="shared" si="1"/>
        <v>5400</v>
      </c>
      <c r="N42" s="129">
        <f t="shared" si="1"/>
        <v>5400</v>
      </c>
      <c r="O42" s="129">
        <f t="shared" si="1"/>
        <v>5400</v>
      </c>
      <c r="P42" s="151">
        <f t="shared" si="1"/>
        <v>5400</v>
      </c>
      <c r="Q42" s="129">
        <f t="shared" si="1"/>
        <v>5400</v>
      </c>
      <c r="S42" s="117" t="s">
        <v>99</v>
      </c>
      <c r="U42" s="129">
        <f>L45</f>
        <v>4320</v>
      </c>
      <c r="V42" s="129">
        <f>N45</f>
        <v>3000</v>
      </c>
      <c r="W42" s="129">
        <f>O45</f>
        <v>2000</v>
      </c>
      <c r="X42" s="129">
        <f>Q45</f>
        <v>1080</v>
      </c>
    </row>
    <row r="43" spans="1:24" s="117" customFormat="1" x14ac:dyDescent="0.2">
      <c r="A43" s="145" t="s">
        <v>1011</v>
      </c>
      <c r="B43" s="145"/>
      <c r="C43" s="145"/>
      <c r="D43" s="145"/>
      <c r="E43" s="145"/>
      <c r="F43" s="145"/>
      <c r="G43" s="145"/>
      <c r="H43" s="145"/>
      <c r="J43" s="117" t="s">
        <v>96</v>
      </c>
      <c r="K43" s="130">
        <v>0</v>
      </c>
      <c r="L43" s="130">
        <f>-L47</f>
        <v>-1080</v>
      </c>
      <c r="M43" s="152">
        <f>L43-M47</f>
        <v>-2160</v>
      </c>
      <c r="N43" s="130">
        <f>M43</f>
        <v>-2160</v>
      </c>
      <c r="O43" s="130">
        <f>N43-O47+N44/3</f>
        <v>-3240</v>
      </c>
      <c r="P43" s="152">
        <f>O43-P47+O44/2</f>
        <v>-4320</v>
      </c>
      <c r="Q43" s="130">
        <f>P43</f>
        <v>-4320</v>
      </c>
      <c r="S43" s="117" t="s">
        <v>1054</v>
      </c>
      <c r="U43" s="129">
        <f>5400*4/5</f>
        <v>4320</v>
      </c>
      <c r="V43" s="129">
        <f>5400*3/5</f>
        <v>3240</v>
      </c>
      <c r="W43" s="129">
        <f>5400*2/5</f>
        <v>2160</v>
      </c>
      <c r="X43" s="129">
        <f>5400*1/5</f>
        <v>1080</v>
      </c>
    </row>
    <row r="44" spans="1:24" s="117" customFormat="1" x14ac:dyDescent="0.2">
      <c r="A44" s="145" t="s">
        <v>1012</v>
      </c>
      <c r="B44" s="145"/>
      <c r="C44" s="145"/>
      <c r="D44" s="145"/>
      <c r="E44" s="145"/>
      <c r="F44" s="145"/>
      <c r="G44" s="145"/>
      <c r="H44" s="145"/>
      <c r="J44" s="117" t="s">
        <v>718</v>
      </c>
      <c r="K44" s="130">
        <v>0</v>
      </c>
      <c r="L44" s="130">
        <v>0</v>
      </c>
      <c r="M44" s="152">
        <v>0</v>
      </c>
      <c r="N44" s="129">
        <f>N45-M45</f>
        <v>-240</v>
      </c>
      <c r="O44" s="130">
        <f>N44*2/3</f>
        <v>-160</v>
      </c>
      <c r="P44" s="152">
        <f>O44*1/2</f>
        <v>-80</v>
      </c>
      <c r="Q44" s="129">
        <v>0</v>
      </c>
      <c r="S44" s="117" t="s">
        <v>1055</v>
      </c>
      <c r="U44" s="129">
        <f>U42-U43</f>
        <v>0</v>
      </c>
      <c r="V44" s="129">
        <f>V42-V43</f>
        <v>-240</v>
      </c>
      <c r="W44" s="129">
        <f>W42-W43</f>
        <v>-160</v>
      </c>
      <c r="X44" s="129">
        <f>X42-X43</f>
        <v>0</v>
      </c>
    </row>
    <row r="45" spans="1:24" s="117" customFormat="1" x14ac:dyDescent="0.2">
      <c r="A45" s="145" t="s">
        <v>1013</v>
      </c>
      <c r="B45" s="145"/>
      <c r="C45" s="145"/>
      <c r="D45" s="145"/>
      <c r="E45" s="145"/>
      <c r="F45" s="145"/>
      <c r="G45" s="145"/>
      <c r="H45" s="145"/>
      <c r="J45" s="117" t="s">
        <v>99</v>
      </c>
      <c r="K45" s="129">
        <f>K42</f>
        <v>5400</v>
      </c>
      <c r="L45" s="129">
        <f>L42+L43+L44</f>
        <v>4320</v>
      </c>
      <c r="M45" s="151">
        <f>M42+M43+M44</f>
        <v>3240</v>
      </c>
      <c r="N45" s="156">
        <f>L61</f>
        <v>3000</v>
      </c>
      <c r="O45" s="156">
        <f>SUM(O42:O44)</f>
        <v>2000</v>
      </c>
      <c r="P45" s="156">
        <f>SUM(P42:P44)</f>
        <v>1000</v>
      </c>
      <c r="Q45" s="156">
        <f>Q42+Q43+Q44</f>
        <v>1080</v>
      </c>
      <c r="S45" s="117" t="s">
        <v>1056</v>
      </c>
      <c r="U45" s="153">
        <v>0.36</v>
      </c>
      <c r="V45" s="153">
        <v>0.36</v>
      </c>
      <c r="W45" s="153">
        <v>0.36</v>
      </c>
      <c r="X45" s="153">
        <v>0.36</v>
      </c>
    </row>
    <row r="46" spans="1:24" s="117" customFormat="1" x14ac:dyDescent="0.2">
      <c r="A46" s="145" t="s">
        <v>1014</v>
      </c>
      <c r="B46" s="145"/>
      <c r="C46" s="145"/>
      <c r="D46" s="145"/>
      <c r="E46" s="145"/>
      <c r="F46" s="145"/>
      <c r="G46" s="145"/>
      <c r="H46" s="145"/>
      <c r="K46" s="130"/>
      <c r="L46" s="130"/>
      <c r="M46" s="152"/>
      <c r="N46" s="130"/>
      <c r="O46" s="130"/>
      <c r="P46" s="152"/>
      <c r="Q46" s="130"/>
      <c r="S46" s="157" t="s">
        <v>1057</v>
      </c>
      <c r="T46" s="157"/>
      <c r="U46" s="158">
        <v>0</v>
      </c>
      <c r="V46" s="158">
        <f>-V44*V45</f>
        <v>86.399999999999991</v>
      </c>
      <c r="W46" s="158">
        <f>-W44*W45</f>
        <v>57.599999999999994</v>
      </c>
      <c r="X46" s="158">
        <v>0</v>
      </c>
    </row>
    <row r="47" spans="1:24" s="117" customFormat="1" x14ac:dyDescent="0.2">
      <c r="A47" s="145" t="s">
        <v>1015</v>
      </c>
      <c r="B47" s="145"/>
      <c r="C47" s="145"/>
      <c r="D47" s="145"/>
      <c r="E47" s="145"/>
      <c r="F47" s="145"/>
      <c r="G47" s="145"/>
      <c r="H47" s="145"/>
      <c r="J47" s="117" t="s">
        <v>100</v>
      </c>
      <c r="K47" s="130"/>
      <c r="L47" s="130">
        <f>K45/5</f>
        <v>1080</v>
      </c>
      <c r="M47" s="152">
        <f>L47</f>
        <v>1080</v>
      </c>
      <c r="N47" s="130">
        <f>M47</f>
        <v>1080</v>
      </c>
      <c r="O47" s="130">
        <f>N45/3</f>
        <v>1000</v>
      </c>
      <c r="P47" s="152">
        <f>O47</f>
        <v>1000</v>
      </c>
      <c r="Q47" s="130"/>
      <c r="S47" s="119"/>
      <c r="T47" s="119"/>
      <c r="U47" s="119"/>
      <c r="V47" s="119"/>
      <c r="W47" s="119"/>
      <c r="X47" s="119"/>
    </row>
    <row r="48" spans="1:24" s="117" customFormat="1" x14ac:dyDescent="0.2">
      <c r="A48" s="145" t="s">
        <v>1016</v>
      </c>
      <c r="B48" s="145"/>
      <c r="C48" s="145"/>
      <c r="D48" s="145"/>
      <c r="E48" s="145"/>
      <c r="F48" s="145"/>
      <c r="G48" s="145"/>
      <c r="H48" s="145"/>
      <c r="K48" s="130"/>
      <c r="L48" s="130"/>
      <c r="M48" s="152"/>
      <c r="N48" s="130"/>
      <c r="O48" s="130"/>
      <c r="P48" s="152"/>
      <c r="Q48" s="130"/>
      <c r="S48" s="157" t="s">
        <v>1058</v>
      </c>
      <c r="T48" s="157"/>
      <c r="U48" s="157"/>
      <c r="V48" s="158">
        <f>V46-U46</f>
        <v>86.399999999999991</v>
      </c>
      <c r="W48" s="157"/>
      <c r="X48" s="157"/>
    </row>
    <row r="49" spans="1:24" s="117" customFormat="1" x14ac:dyDescent="0.2">
      <c r="A49" s="145" t="s">
        <v>1017</v>
      </c>
      <c r="B49" s="145"/>
      <c r="C49" s="145"/>
      <c r="D49" s="145"/>
      <c r="E49" s="145"/>
      <c r="F49" s="145"/>
      <c r="G49" s="145"/>
      <c r="H49" s="145"/>
      <c r="J49" s="117" t="s">
        <v>891</v>
      </c>
      <c r="K49" s="130"/>
      <c r="L49" s="130"/>
      <c r="M49" s="152"/>
      <c r="N49" s="129">
        <f>-N44</f>
        <v>240</v>
      </c>
      <c r="O49" s="130"/>
      <c r="P49" s="152"/>
      <c r="Q49" s="129"/>
      <c r="S49" s="157" t="s">
        <v>1059</v>
      </c>
      <c r="T49" s="157"/>
      <c r="U49" s="157"/>
      <c r="V49" s="157"/>
      <c r="W49" s="158">
        <f>V46-W46</f>
        <v>28.799999999999997</v>
      </c>
      <c r="X49" s="158">
        <f>W46-X46</f>
        <v>57.599999999999994</v>
      </c>
    </row>
    <row r="50" spans="1:24" s="117" customFormat="1" x14ac:dyDescent="0.2">
      <c r="A50" s="145" t="s">
        <v>1018</v>
      </c>
      <c r="B50" s="145"/>
      <c r="C50" s="145"/>
      <c r="D50" s="145"/>
      <c r="E50" s="145"/>
      <c r="F50" s="145"/>
      <c r="G50" s="145"/>
      <c r="H50" s="145"/>
      <c r="J50" s="117" t="s">
        <v>892</v>
      </c>
      <c r="K50" s="130"/>
      <c r="L50" s="130"/>
      <c r="M50" s="152"/>
      <c r="N50" s="130"/>
      <c r="O50" s="130"/>
      <c r="P50" s="152"/>
      <c r="Q50" s="130">
        <f>-P44</f>
        <v>80</v>
      </c>
    </row>
    <row r="51" spans="1:24" s="117" customFormat="1" x14ac:dyDescent="0.2">
      <c r="A51" s="117" t="s">
        <v>1019</v>
      </c>
      <c r="L51" s="130"/>
    </row>
    <row r="52" spans="1:24" s="117" customFormat="1" x14ac:dyDescent="0.2">
      <c r="A52" s="117" t="s">
        <v>1020</v>
      </c>
      <c r="J52" s="125" t="s">
        <v>1047</v>
      </c>
      <c r="K52" s="125"/>
      <c r="L52" s="128">
        <v>40178</v>
      </c>
      <c r="M52" s="128">
        <v>40543</v>
      </c>
      <c r="N52" s="128">
        <v>40908</v>
      </c>
    </row>
    <row r="53" spans="1:24" s="117" customFormat="1" x14ac:dyDescent="0.2">
      <c r="A53" s="117" t="s">
        <v>1021</v>
      </c>
      <c r="J53" s="117" t="s">
        <v>1044</v>
      </c>
      <c r="L53" s="130">
        <f>B57-B58</f>
        <v>1150</v>
      </c>
      <c r="M53" s="130">
        <f>L54</f>
        <v>1000</v>
      </c>
      <c r="N53" s="130">
        <f>2500-1200</f>
        <v>1300</v>
      </c>
    </row>
    <row r="54" spans="1:24" s="117" customFormat="1" x14ac:dyDescent="0.2">
      <c r="A54" s="117" t="s">
        <v>1022</v>
      </c>
      <c r="J54" s="117" t="s">
        <v>1045</v>
      </c>
      <c r="L54" s="130">
        <f>C57-C58</f>
        <v>1000</v>
      </c>
      <c r="M54" s="130">
        <f>L55</f>
        <v>1205</v>
      </c>
    </row>
    <row r="55" spans="1:24" s="117" customFormat="1" x14ac:dyDescent="0.2">
      <c r="J55" s="117" t="s">
        <v>1046</v>
      </c>
      <c r="L55" s="130">
        <f>D57-D58</f>
        <v>1205</v>
      </c>
      <c r="M55" s="130"/>
    </row>
    <row r="56" spans="1:24" s="117" customFormat="1" x14ac:dyDescent="0.2">
      <c r="A56" s="117" t="s">
        <v>1023</v>
      </c>
      <c r="B56" s="146">
        <v>2010</v>
      </c>
      <c r="C56" s="146">
        <v>2011</v>
      </c>
      <c r="D56" s="146">
        <v>2012</v>
      </c>
      <c r="L56" s="130"/>
    </row>
    <row r="57" spans="1:24" s="117" customFormat="1" x14ac:dyDescent="0.2">
      <c r="A57" s="117" t="s">
        <v>1024</v>
      </c>
      <c r="B57" s="117">
        <v>2550</v>
      </c>
      <c r="C57" s="117">
        <v>2500</v>
      </c>
      <c r="D57" s="117">
        <v>2405</v>
      </c>
      <c r="J57" s="117" t="s">
        <v>1048</v>
      </c>
      <c r="L57" s="153">
        <v>7.0000000000000007E-2</v>
      </c>
      <c r="M57" s="153">
        <v>7.0000000000000007E-2</v>
      </c>
      <c r="N57" s="153">
        <v>7.0000000000000007E-2</v>
      </c>
    </row>
    <row r="58" spans="1:24" s="117" customFormat="1" x14ac:dyDescent="0.2">
      <c r="A58" s="117" t="s">
        <v>1025</v>
      </c>
      <c r="B58" s="117">
        <v>1400</v>
      </c>
      <c r="C58" s="117">
        <v>1500</v>
      </c>
      <c r="D58" s="117">
        <v>1200</v>
      </c>
      <c r="L58" s="130"/>
    </row>
    <row r="59" spans="1:24" s="117" customFormat="1" x14ac:dyDescent="0.2">
      <c r="A59" s="117" t="s">
        <v>1026</v>
      </c>
      <c r="B59" s="117">
        <v>360</v>
      </c>
      <c r="C59" s="117">
        <v>300</v>
      </c>
      <c r="D59" s="117">
        <v>250</v>
      </c>
      <c r="J59" s="117" t="s">
        <v>1049</v>
      </c>
      <c r="L59" s="154">
        <f>NPV(L57,L53:L55)</f>
        <v>2931.844025066875</v>
      </c>
      <c r="M59" s="154">
        <f>NPV(M57,M53:M55)</f>
        <v>1987.0731068215564</v>
      </c>
      <c r="N59" s="154">
        <f>NPV(N57,N53:N55)</f>
        <v>1214.9532710280373</v>
      </c>
    </row>
    <row r="60" spans="1:24" s="117" customFormat="1" x14ac:dyDescent="0.2">
      <c r="J60" s="117" t="s">
        <v>1050</v>
      </c>
      <c r="L60" s="130">
        <v>3000</v>
      </c>
      <c r="M60" s="130">
        <v>2000</v>
      </c>
      <c r="N60" s="130">
        <v>1150</v>
      </c>
    </row>
    <row r="61" spans="1:24" s="117" customFormat="1" x14ac:dyDescent="0.2">
      <c r="A61" s="117" t="s">
        <v>1027</v>
      </c>
      <c r="B61" s="118">
        <v>2010</v>
      </c>
      <c r="C61" s="118">
        <v>2011</v>
      </c>
      <c r="D61" s="118">
        <v>2012</v>
      </c>
      <c r="E61" s="118">
        <v>2013</v>
      </c>
      <c r="F61" s="118">
        <v>2014</v>
      </c>
      <c r="J61" s="117" t="s">
        <v>1051</v>
      </c>
      <c r="L61" s="155">
        <f>MAX(L59:L60)</f>
        <v>3000</v>
      </c>
      <c r="M61" s="155">
        <f>MAX(M59:M60)</f>
        <v>2000</v>
      </c>
      <c r="N61" s="155">
        <f>MAX(N59:N60)</f>
        <v>1214.9532710280373</v>
      </c>
    </row>
    <row r="62" spans="1:24" s="117" customFormat="1" x14ac:dyDescent="0.2">
      <c r="A62" s="117" t="s">
        <v>1024</v>
      </c>
      <c r="B62" s="117">
        <v>2200</v>
      </c>
      <c r="C62" s="117">
        <v>3400</v>
      </c>
      <c r="D62" s="117">
        <v>3400</v>
      </c>
      <c r="E62" s="117">
        <v>3200</v>
      </c>
      <c r="F62" s="117">
        <v>2800</v>
      </c>
    </row>
    <row r="63" spans="1:24" s="117" customFormat="1" ht="17" thickBot="1" x14ac:dyDescent="0.25">
      <c r="A63" s="117" t="s">
        <v>1025</v>
      </c>
      <c r="B63" s="117">
        <v>1300</v>
      </c>
      <c r="C63" s="117">
        <v>1500</v>
      </c>
      <c r="D63" s="117">
        <v>1600</v>
      </c>
      <c r="E63" s="117">
        <v>1550</v>
      </c>
      <c r="F63" s="117">
        <v>1650</v>
      </c>
      <c r="J63" s="119" t="s">
        <v>1027</v>
      </c>
    </row>
    <row r="64" spans="1:24" s="117" customFormat="1" x14ac:dyDescent="0.2">
      <c r="A64" s="117" t="s">
        <v>1026</v>
      </c>
      <c r="B64" s="117">
        <v>300</v>
      </c>
      <c r="C64" s="117">
        <v>600</v>
      </c>
      <c r="D64" s="117">
        <v>500</v>
      </c>
      <c r="E64" s="117">
        <v>500</v>
      </c>
      <c r="F64" s="117">
        <v>400</v>
      </c>
      <c r="L64" s="152" t="s">
        <v>893</v>
      </c>
      <c r="M64" s="130" t="s">
        <v>659</v>
      </c>
      <c r="N64" s="152" t="s">
        <v>1074</v>
      </c>
      <c r="O64" s="152" t="s">
        <v>893</v>
      </c>
      <c r="P64" s="165" t="s">
        <v>659</v>
      </c>
      <c r="Q64" s="152" t="s">
        <v>893</v>
      </c>
      <c r="R64" s="165" t="s">
        <v>659</v>
      </c>
      <c r="S64" s="130"/>
      <c r="T64" s="119" t="s">
        <v>1079</v>
      </c>
    </row>
    <row r="65" spans="1:25" s="117" customFormat="1" x14ac:dyDescent="0.2">
      <c r="K65" s="128">
        <v>39995</v>
      </c>
      <c r="L65" s="150">
        <v>40178</v>
      </c>
      <c r="M65" s="128">
        <v>40178</v>
      </c>
      <c r="N65" s="150">
        <v>40360</v>
      </c>
      <c r="O65" s="150">
        <v>40543</v>
      </c>
      <c r="P65" s="166">
        <v>40543</v>
      </c>
      <c r="Q65" s="150">
        <v>40908</v>
      </c>
      <c r="R65" s="166">
        <v>40908</v>
      </c>
      <c r="S65" s="173"/>
      <c r="V65" s="173"/>
      <c r="W65" s="128">
        <v>40178</v>
      </c>
      <c r="X65" s="128">
        <v>40543</v>
      </c>
      <c r="Y65" s="128">
        <v>40908</v>
      </c>
    </row>
    <row r="66" spans="1:25" s="117" customFormat="1" x14ac:dyDescent="0.2">
      <c r="A66" s="117" t="s">
        <v>1028</v>
      </c>
      <c r="J66" s="117" t="s">
        <v>95</v>
      </c>
      <c r="K66" s="129">
        <v>6000</v>
      </c>
      <c r="L66" s="151">
        <f>K83</f>
        <v>6294.5</v>
      </c>
      <c r="M66" s="129">
        <f>L66</f>
        <v>6294.5</v>
      </c>
      <c r="N66" s="151">
        <f>L83</f>
        <v>6552.5714285714294</v>
      </c>
      <c r="O66" s="151">
        <f>N66</f>
        <v>6552.5714285714294</v>
      </c>
      <c r="P66" s="167">
        <f>O66</f>
        <v>6552.5714285714294</v>
      </c>
      <c r="Q66" s="151">
        <f>P66</f>
        <v>6552.5714285714294</v>
      </c>
      <c r="R66" s="167">
        <f>Q66</f>
        <v>6552.5714285714294</v>
      </c>
      <c r="S66" s="129"/>
      <c r="T66" s="117" t="s">
        <v>99</v>
      </c>
      <c r="V66" s="129"/>
      <c r="W66" s="129">
        <f>M69</f>
        <v>6100</v>
      </c>
      <c r="X66" s="129">
        <f>P69</f>
        <v>5686.5459180029075</v>
      </c>
      <c r="Y66" s="129">
        <f>R69</f>
        <v>4365.9806227209983</v>
      </c>
    </row>
    <row r="67" spans="1:25" s="117" customFormat="1" x14ac:dyDescent="0.2">
      <c r="J67" s="117" t="s">
        <v>96</v>
      </c>
      <c r="K67" s="130">
        <v>0</v>
      </c>
      <c r="L67" s="152">
        <v>0</v>
      </c>
      <c r="M67" s="130">
        <v>0</v>
      </c>
      <c r="N67" s="152">
        <v>0</v>
      </c>
      <c r="O67" s="164">
        <f>-O71+N68/4.5*(6/12)</f>
        <v>-711.39682539682542</v>
      </c>
      <c r="P67" s="168">
        <f>O67</f>
        <v>-711.39682539682542</v>
      </c>
      <c r="Q67" s="164">
        <f>P67-Q71+P68/4</f>
        <v>-2171.6904761904766</v>
      </c>
      <c r="R67" s="168">
        <f>Q67</f>
        <v>-2171.6904761904766</v>
      </c>
      <c r="S67" s="154"/>
      <c r="T67" s="117" t="s">
        <v>1054</v>
      </c>
      <c r="V67" s="129"/>
      <c r="W67" s="129">
        <f>M66</f>
        <v>6294.5</v>
      </c>
      <c r="X67" s="129">
        <f>N66*4/4.5</f>
        <v>5824.5079365079373</v>
      </c>
      <c r="Y67" s="129">
        <f>O66*3/4.5</f>
        <v>4368.3809523809532</v>
      </c>
    </row>
    <row r="68" spans="1:25" s="117" customFormat="1" x14ac:dyDescent="0.2">
      <c r="A68" s="147" t="s">
        <v>1029</v>
      </c>
      <c r="J68" s="117" t="s">
        <v>718</v>
      </c>
      <c r="K68" s="130">
        <v>0</v>
      </c>
      <c r="L68" s="152">
        <v>0</v>
      </c>
      <c r="M68" s="129">
        <f>M69-M66</f>
        <v>-194.5</v>
      </c>
      <c r="N68" s="151">
        <f>M68</f>
        <v>-194.5</v>
      </c>
      <c r="O68" s="164">
        <f>N68*4/4.5</f>
        <v>-172.88888888888889</v>
      </c>
      <c r="P68" s="168">
        <f>O68+P74</f>
        <v>-154.62868517169701</v>
      </c>
      <c r="Q68" s="151">
        <f>P68*3/4</f>
        <v>-115.97151387877275</v>
      </c>
      <c r="R68" s="168">
        <f>Q68+R74</f>
        <v>-14.900329659954338</v>
      </c>
      <c r="S68" s="154"/>
      <c r="T68" s="117" t="s">
        <v>1055</v>
      </c>
      <c r="V68" s="129"/>
      <c r="W68" s="129">
        <f>W66-W67</f>
        <v>-194.5</v>
      </c>
      <c r="X68" s="129">
        <f>X66-X67</f>
        <v>-137.96201850502985</v>
      </c>
      <c r="Y68" s="129">
        <f>Y66-Y67</f>
        <v>-2.4003296599548776</v>
      </c>
    </row>
    <row r="69" spans="1:25" s="117" customFormat="1" x14ac:dyDescent="0.2">
      <c r="A69" s="147" t="s">
        <v>1030</v>
      </c>
      <c r="J69" s="117" t="s">
        <v>99</v>
      </c>
      <c r="K69" s="129">
        <f>K66</f>
        <v>6000</v>
      </c>
      <c r="L69" s="129">
        <f>L66</f>
        <v>6294.5</v>
      </c>
      <c r="M69" s="156">
        <f>K106</f>
        <v>6100</v>
      </c>
      <c r="N69" s="156">
        <f>N66+N67+N68</f>
        <v>6358.0714285714294</v>
      </c>
      <c r="O69" s="156">
        <f>SUM(O66:O68)</f>
        <v>5668.2857142857156</v>
      </c>
      <c r="P69" s="169">
        <f>L106</f>
        <v>5686.5459180029075</v>
      </c>
      <c r="Q69" s="156">
        <f>Q66+Q67+Q68</f>
        <v>4264.9094385021799</v>
      </c>
      <c r="R69" s="169">
        <f>M106</f>
        <v>4365.9806227209983</v>
      </c>
      <c r="S69" s="129"/>
      <c r="T69" s="117" t="s">
        <v>1056</v>
      </c>
      <c r="V69" s="153"/>
      <c r="W69" s="153">
        <v>0.36</v>
      </c>
      <c r="X69" s="153">
        <v>0.36</v>
      </c>
      <c r="Y69" s="153">
        <v>0.36</v>
      </c>
    </row>
    <row r="70" spans="1:25" s="117" customFormat="1" x14ac:dyDescent="0.2">
      <c r="A70" s="147" t="s">
        <v>1031</v>
      </c>
      <c r="K70" s="130"/>
      <c r="L70" s="130"/>
      <c r="M70" s="130"/>
      <c r="N70" s="130"/>
      <c r="O70" s="130"/>
      <c r="P70" s="170"/>
      <c r="Q70" s="130"/>
      <c r="R70" s="170"/>
      <c r="S70" s="130"/>
      <c r="T70" s="157" t="s">
        <v>1057</v>
      </c>
      <c r="U70" s="157"/>
      <c r="V70" s="158"/>
      <c r="W70" s="174">
        <f>-W68*W69</f>
        <v>70.02</v>
      </c>
      <c r="X70" s="174">
        <f>-X68*X69</f>
        <v>49.666326661810743</v>
      </c>
      <c r="Y70" s="174">
        <f>-Y68*Y69</f>
        <v>0.86411867758375593</v>
      </c>
    </row>
    <row r="71" spans="1:25" s="117" customFormat="1" x14ac:dyDescent="0.2">
      <c r="J71" s="117" t="s">
        <v>100</v>
      </c>
      <c r="K71" s="159"/>
      <c r="L71" s="159"/>
      <c r="M71" s="159"/>
      <c r="N71" s="159"/>
      <c r="O71" s="129">
        <f>(N69-150)/4.5*(6/12)</f>
        <v>689.78571428571433</v>
      </c>
      <c r="P71" s="167">
        <f>O71</f>
        <v>689.78571428571433</v>
      </c>
      <c r="Q71" s="154">
        <f>P69/4</f>
        <v>1421.6364795007269</v>
      </c>
      <c r="R71" s="167">
        <f>Q71</f>
        <v>1421.6364795007269</v>
      </c>
      <c r="S71" s="154"/>
      <c r="T71" s="119"/>
      <c r="U71" s="119"/>
      <c r="V71" s="119"/>
      <c r="W71" s="175"/>
      <c r="X71" s="175"/>
      <c r="Y71" s="175"/>
    </row>
    <row r="72" spans="1:25" s="117" customFormat="1" x14ac:dyDescent="0.2">
      <c r="A72" s="117" t="s">
        <v>1023</v>
      </c>
      <c r="B72" s="146">
        <v>2012</v>
      </c>
      <c r="D72" s="117" t="s">
        <v>1027</v>
      </c>
      <c r="E72" s="146">
        <v>2012</v>
      </c>
      <c r="F72" s="146">
        <v>2013</v>
      </c>
      <c r="G72" s="146">
        <v>2014</v>
      </c>
      <c r="K72" s="130"/>
      <c r="L72" s="130"/>
      <c r="M72" s="130"/>
      <c r="N72" s="130"/>
      <c r="O72" s="130"/>
      <c r="P72" s="170"/>
      <c r="Q72" s="130"/>
      <c r="R72" s="170"/>
      <c r="S72" s="130"/>
      <c r="T72" s="157" t="s">
        <v>1058</v>
      </c>
      <c r="U72" s="157"/>
      <c r="V72" s="157"/>
      <c r="W72" s="174">
        <f>W70-V70</f>
        <v>70.02</v>
      </c>
      <c r="X72" s="176"/>
      <c r="Y72" s="176"/>
    </row>
    <row r="73" spans="1:25" s="117" customFormat="1" x14ac:dyDescent="0.2">
      <c r="A73" s="117" t="s">
        <v>1024</v>
      </c>
      <c r="B73" s="117">
        <v>2500</v>
      </c>
      <c r="D73" s="117" t="s">
        <v>1024</v>
      </c>
      <c r="E73" s="117">
        <v>3460</v>
      </c>
      <c r="F73" s="117">
        <v>3250</v>
      </c>
      <c r="G73" s="117">
        <v>2900</v>
      </c>
      <c r="J73" s="117" t="s">
        <v>891</v>
      </c>
      <c r="K73" s="130"/>
      <c r="L73" s="130"/>
      <c r="M73" s="129">
        <f>-M68</f>
        <v>194.5</v>
      </c>
      <c r="N73" s="129"/>
      <c r="O73" s="130"/>
      <c r="P73" s="170"/>
      <c r="Q73" s="129"/>
      <c r="R73" s="167"/>
      <c r="S73" s="130"/>
      <c r="T73" s="157" t="s">
        <v>1059</v>
      </c>
      <c r="U73" s="157"/>
      <c r="V73" s="157"/>
      <c r="W73" s="176"/>
      <c r="X73" s="174">
        <f>W70-X70</f>
        <v>20.353673338189253</v>
      </c>
      <c r="Y73" s="174">
        <f>X70-Y70</f>
        <v>48.802207984226989</v>
      </c>
    </row>
    <row r="74" spans="1:25" s="117" customFormat="1" x14ac:dyDescent="0.2">
      <c r="A74" s="117" t="s">
        <v>1025</v>
      </c>
      <c r="B74" s="117">
        <v>1200</v>
      </c>
      <c r="D74" s="117" t="s">
        <v>1025</v>
      </c>
      <c r="E74" s="117">
        <v>1600</v>
      </c>
      <c r="F74" s="117">
        <v>1550</v>
      </c>
      <c r="G74" s="117">
        <v>1650</v>
      </c>
      <c r="J74" s="117" t="s">
        <v>892</v>
      </c>
      <c r="K74" s="130"/>
      <c r="L74" s="130"/>
      <c r="M74" s="130"/>
      <c r="N74" s="130"/>
      <c r="O74" s="130"/>
      <c r="P74" s="167">
        <f>P69-O69</f>
        <v>18.260203717191871</v>
      </c>
      <c r="Q74" s="130"/>
      <c r="R74" s="167">
        <f>R69-Q69</f>
        <v>101.07118421881842</v>
      </c>
      <c r="S74" s="130"/>
    </row>
    <row r="75" spans="1:25" s="117" customFormat="1" x14ac:dyDescent="0.2">
      <c r="A75" s="117" t="s">
        <v>1026</v>
      </c>
      <c r="B75" s="117">
        <v>340</v>
      </c>
      <c r="D75" s="117" t="s">
        <v>1026</v>
      </c>
      <c r="E75" s="117">
        <v>520</v>
      </c>
      <c r="F75" s="117">
        <v>530</v>
      </c>
      <c r="G75" s="117">
        <v>470</v>
      </c>
      <c r="P75" s="171"/>
      <c r="R75" s="171"/>
      <c r="S75" s="130"/>
    </row>
    <row r="76" spans="1:25" s="117" customFormat="1" ht="17" thickBot="1" x14ac:dyDescent="0.25">
      <c r="J76" s="117" t="s">
        <v>1075</v>
      </c>
      <c r="O76" s="163">
        <f>M88</f>
        <v>208.07142857142844</v>
      </c>
      <c r="P76" s="172">
        <f>O76</f>
        <v>208.07142857142844</v>
      </c>
      <c r="Q76" s="154">
        <f>P88</f>
        <v>201.85714285714283</v>
      </c>
      <c r="R76" s="172">
        <f>Q76</f>
        <v>201.85714285714283</v>
      </c>
      <c r="S76" s="130"/>
    </row>
    <row r="77" spans="1:25" s="117" customFormat="1" x14ac:dyDescent="0.2">
      <c r="A77" s="117" t="s">
        <v>1032</v>
      </c>
    </row>
    <row r="78" spans="1:25" s="117" customFormat="1" x14ac:dyDescent="0.2">
      <c r="C78" s="146">
        <v>2009</v>
      </c>
      <c r="D78" s="146">
        <v>2010</v>
      </c>
      <c r="E78" s="146">
        <v>2011</v>
      </c>
      <c r="J78" s="117" t="s">
        <v>1060</v>
      </c>
    </row>
    <row r="79" spans="1:25" s="117" customFormat="1" x14ac:dyDescent="0.2">
      <c r="A79" s="117" t="s">
        <v>1023</v>
      </c>
      <c r="C79" s="117">
        <v>3000</v>
      </c>
      <c r="D79" s="117">
        <v>2000</v>
      </c>
      <c r="E79" s="117">
        <v>1150</v>
      </c>
      <c r="K79" s="128">
        <v>40178</v>
      </c>
      <c r="L79" s="128">
        <v>40360</v>
      </c>
    </row>
    <row r="80" spans="1:25" s="117" customFormat="1" x14ac:dyDescent="0.2">
      <c r="A80" s="117" t="s">
        <v>1027</v>
      </c>
      <c r="C80" s="117">
        <v>6100</v>
      </c>
      <c r="D80" s="117">
        <v>5550</v>
      </c>
      <c r="E80" s="117">
        <v>4250</v>
      </c>
      <c r="J80" s="117" t="s">
        <v>1061</v>
      </c>
      <c r="K80" s="129">
        <v>6000</v>
      </c>
      <c r="L80" s="129">
        <f>K83</f>
        <v>6294.5</v>
      </c>
    </row>
    <row r="81" spans="1:18" s="117" customFormat="1" x14ac:dyDescent="0.2">
      <c r="J81" s="117" t="s">
        <v>1062</v>
      </c>
      <c r="K81" s="130">
        <f>100*6/12</f>
        <v>50</v>
      </c>
      <c r="L81" s="130">
        <f>K81</f>
        <v>50</v>
      </c>
    </row>
    <row r="82" spans="1:18" s="117" customFormat="1" x14ac:dyDescent="0.2">
      <c r="A82" s="117" t="s">
        <v>1033</v>
      </c>
      <c r="J82" s="117" t="s">
        <v>1063</v>
      </c>
      <c r="K82" s="129">
        <f>K88</f>
        <v>244.5</v>
      </c>
      <c r="L82" s="129">
        <f>L88</f>
        <v>208.0714285714289</v>
      </c>
    </row>
    <row r="83" spans="1:18" s="117" customFormat="1" x14ac:dyDescent="0.2">
      <c r="J83" s="117" t="s">
        <v>1064</v>
      </c>
      <c r="K83" s="156">
        <f>SUM(K80:K82)</f>
        <v>6294.5</v>
      </c>
      <c r="L83" s="156">
        <f>SUM(L80:L82)</f>
        <v>6552.5714285714294</v>
      </c>
    </row>
    <row r="84" spans="1:18" s="117" customFormat="1" x14ac:dyDescent="0.2">
      <c r="A84" s="125" t="s">
        <v>656</v>
      </c>
      <c r="B84" s="125" t="s">
        <v>1034</v>
      </c>
      <c r="K84" s="130"/>
      <c r="M84" s="130" t="s">
        <v>364</v>
      </c>
    </row>
    <row r="85" spans="1:18" s="117" customFormat="1" x14ac:dyDescent="0.2">
      <c r="A85" s="126">
        <v>39995</v>
      </c>
      <c r="B85" s="117">
        <v>3.5</v>
      </c>
      <c r="J85" s="117" t="s">
        <v>1065</v>
      </c>
      <c r="K85" s="128">
        <v>40178</v>
      </c>
      <c r="L85" s="128">
        <v>40360</v>
      </c>
      <c r="M85" s="128">
        <v>40543</v>
      </c>
    </row>
    <row r="86" spans="1:18" s="117" customFormat="1" x14ac:dyDescent="0.2">
      <c r="A86" s="126">
        <v>40178</v>
      </c>
      <c r="B86" s="117">
        <v>3.6749999999999998</v>
      </c>
      <c r="J86" s="126" t="s">
        <v>1072</v>
      </c>
      <c r="K86" s="129">
        <f>50%*K80</f>
        <v>3000</v>
      </c>
      <c r="L86" s="129">
        <f>K89</f>
        <v>3244.5</v>
      </c>
      <c r="M86" s="129">
        <f>L89</f>
        <v>3257.1428571428573</v>
      </c>
      <c r="O86" s="117" t="s">
        <v>1076</v>
      </c>
    </row>
    <row r="87" spans="1:18" s="117" customFormat="1" x14ac:dyDescent="0.2">
      <c r="A87" s="126">
        <v>40360</v>
      </c>
      <c r="B87" s="117">
        <v>3.8</v>
      </c>
      <c r="J87" s="117" t="s">
        <v>1066</v>
      </c>
      <c r="K87" s="130">
        <v>0</v>
      </c>
      <c r="L87" s="162">
        <f>-6%*3000*B87/B85</f>
        <v>-195.42857142857142</v>
      </c>
      <c r="M87" s="130">
        <v>0</v>
      </c>
      <c r="O87" s="117" t="s">
        <v>1077</v>
      </c>
    </row>
    <row r="88" spans="1:18" s="117" customFormat="1" x14ac:dyDescent="0.2">
      <c r="A88" s="126">
        <v>40543</v>
      </c>
      <c r="B88" s="117">
        <v>3.9249999999999998</v>
      </c>
      <c r="I88" s="117" t="s">
        <v>1068</v>
      </c>
      <c r="J88" s="117" t="s">
        <v>1067</v>
      </c>
      <c r="K88" s="161">
        <f>K89-K86-K87</f>
        <v>244.5</v>
      </c>
      <c r="L88" s="161">
        <f>L89-L87-L86</f>
        <v>208.0714285714289</v>
      </c>
      <c r="M88" s="163">
        <f>M89-M87-M86</f>
        <v>208.07142857142844</v>
      </c>
      <c r="P88" s="154">
        <f>3000*3.925/3.5*6%</f>
        <v>201.85714285714283</v>
      </c>
      <c r="R88" s="117" t="s">
        <v>1078</v>
      </c>
    </row>
    <row r="89" spans="1:18" s="117" customFormat="1" x14ac:dyDescent="0.2">
      <c r="J89" s="126" t="s">
        <v>1073</v>
      </c>
      <c r="K89" s="129">
        <f>3000*(1+6%/2)*B86/B85</f>
        <v>3244.5</v>
      </c>
      <c r="L89" s="129">
        <f>3000*B87/B85</f>
        <v>3257.1428571428573</v>
      </c>
      <c r="M89" s="129">
        <f>3000*(1+6%/2)*B88/B85</f>
        <v>3465.2142857142858</v>
      </c>
    </row>
    <row r="90" spans="1:18" s="117" customFormat="1" x14ac:dyDescent="0.2">
      <c r="A90" s="117" t="s">
        <v>1035</v>
      </c>
    </row>
    <row r="91" spans="1:18" s="117" customFormat="1" x14ac:dyDescent="0.2">
      <c r="A91" s="148" t="s">
        <v>1036</v>
      </c>
      <c r="J91" s="119" t="s">
        <v>1069</v>
      </c>
    </row>
    <row r="92" spans="1:18" s="117" customFormat="1" x14ac:dyDescent="0.2">
      <c r="A92" s="149" t="s">
        <v>1037</v>
      </c>
      <c r="B92" s="149"/>
      <c r="C92" s="149"/>
      <c r="D92" s="149"/>
    </row>
    <row r="93" spans="1:18" s="117" customFormat="1" x14ac:dyDescent="0.2">
      <c r="A93" s="117" t="s">
        <v>1038</v>
      </c>
      <c r="J93" s="117" t="s">
        <v>1070</v>
      </c>
    </row>
    <row r="94" spans="1:18" s="117" customFormat="1" x14ac:dyDescent="0.2">
      <c r="A94" s="117" t="s">
        <v>1039</v>
      </c>
      <c r="K94" s="141">
        <v>40178</v>
      </c>
      <c r="L94" s="128">
        <v>40543</v>
      </c>
      <c r="M94" s="128">
        <v>40908</v>
      </c>
    </row>
    <row r="95" spans="1:18" s="117" customFormat="1" x14ac:dyDescent="0.2">
      <c r="A95" s="117" t="s">
        <v>1040</v>
      </c>
      <c r="K95" s="130">
        <f>2200-1300</f>
        <v>900</v>
      </c>
      <c r="L95" s="130">
        <f>3400-1500</f>
        <v>1900</v>
      </c>
      <c r="M95" s="130">
        <f>3460-1600</f>
        <v>1860</v>
      </c>
    </row>
    <row r="96" spans="1:18" s="117" customFormat="1" x14ac:dyDescent="0.2">
      <c r="K96" s="130">
        <f>3400-1500</f>
        <v>1900</v>
      </c>
      <c r="L96" s="130">
        <f>3400-1600</f>
        <v>1800</v>
      </c>
      <c r="M96" s="130">
        <f>3250-1550</f>
        <v>1700</v>
      </c>
    </row>
    <row r="97" spans="1:23" s="117" customFormat="1" x14ac:dyDescent="0.2">
      <c r="A97" s="117" t="s">
        <v>1041</v>
      </c>
      <c r="K97" s="130">
        <f>3400-1600</f>
        <v>1800</v>
      </c>
      <c r="L97" s="130">
        <f>3200-1550</f>
        <v>1650</v>
      </c>
      <c r="M97" s="130">
        <f>2900-1650+150</f>
        <v>1400</v>
      </c>
    </row>
    <row r="98" spans="1:23" s="117" customFormat="1" x14ac:dyDescent="0.2">
      <c r="A98" s="117" t="s">
        <v>1042</v>
      </c>
      <c r="K98" s="130">
        <f>3200-1550</f>
        <v>1650</v>
      </c>
      <c r="L98" s="130">
        <f>2800-1650+150</f>
        <v>1300</v>
      </c>
    </row>
    <row r="99" spans="1:23" x14ac:dyDescent="0.2">
      <c r="I99" s="117"/>
      <c r="J99" s="117"/>
      <c r="K99" s="130">
        <f>2800-1650</f>
        <v>1150</v>
      </c>
      <c r="L99" s="130"/>
      <c r="M99" s="117"/>
      <c r="N99" s="117"/>
      <c r="O99" s="117"/>
      <c r="P99" s="117"/>
      <c r="Q99" s="117"/>
      <c r="R99" s="117"/>
      <c r="S99" s="117"/>
      <c r="T99" s="117"/>
      <c r="U99" s="117"/>
      <c r="V99" s="117"/>
      <c r="W99" s="117"/>
    </row>
    <row r="100" spans="1:23" x14ac:dyDescent="0.2">
      <c r="I100" s="117"/>
      <c r="J100" s="117"/>
      <c r="K100" s="117"/>
      <c r="L100" s="117"/>
      <c r="M100" s="117"/>
      <c r="N100" s="117"/>
      <c r="O100" s="117"/>
      <c r="P100" s="117"/>
      <c r="Q100" s="117"/>
      <c r="R100" s="117"/>
      <c r="S100" s="117"/>
      <c r="T100" s="117"/>
      <c r="U100" s="117"/>
      <c r="V100" s="117"/>
      <c r="W100" s="117"/>
    </row>
    <row r="101" spans="1:23" x14ac:dyDescent="0.2">
      <c r="J101" s="117" t="s">
        <v>966</v>
      </c>
      <c r="K101" s="153">
        <v>7.0000000000000007E-2</v>
      </c>
      <c r="L101" s="153">
        <v>7.0000000000000007E-2</v>
      </c>
      <c r="M101" s="153">
        <v>7.0000000000000007E-2</v>
      </c>
      <c r="N101" s="153"/>
      <c r="O101" s="117"/>
    </row>
    <row r="102" spans="1:23" x14ac:dyDescent="0.2">
      <c r="J102" s="117"/>
      <c r="K102" s="117"/>
      <c r="L102" s="117"/>
      <c r="M102" s="117"/>
      <c r="N102" s="117"/>
      <c r="O102" s="117"/>
    </row>
    <row r="103" spans="1:23" x14ac:dyDescent="0.2">
      <c r="J103" s="117" t="s">
        <v>1071</v>
      </c>
      <c r="K103" s="154">
        <f>NPV(K101,K95:K99)</f>
        <v>6048.7024637343729</v>
      </c>
      <c r="L103" s="154">
        <f>NPV(L101,L95:L99)</f>
        <v>5686.5459180029075</v>
      </c>
      <c r="M103" s="154">
        <f>NPV(M101,M95:M99)</f>
        <v>4365.9806227209983</v>
      </c>
      <c r="N103" s="117"/>
      <c r="O103" s="117"/>
    </row>
    <row r="104" spans="1:23" x14ac:dyDescent="0.2">
      <c r="J104" s="117" t="s">
        <v>706</v>
      </c>
      <c r="K104" s="130">
        <v>6100</v>
      </c>
      <c r="L104" s="130">
        <f>D80</f>
        <v>5550</v>
      </c>
      <c r="M104" s="130">
        <v>4250</v>
      </c>
      <c r="N104" s="117"/>
      <c r="O104" s="117"/>
    </row>
    <row r="105" spans="1:23" x14ac:dyDescent="0.2">
      <c r="J105" s="117"/>
      <c r="K105" s="130"/>
      <c r="L105" s="130"/>
      <c r="M105" s="117"/>
      <c r="N105" s="117"/>
      <c r="O105" s="117"/>
    </row>
    <row r="106" spans="1:23" x14ac:dyDescent="0.2">
      <c r="J106" s="117" t="s">
        <v>930</v>
      </c>
      <c r="K106" s="160">
        <f>MAX(K103:K104)</f>
        <v>6100</v>
      </c>
      <c r="L106" s="155">
        <f>MAX(L103:L104)</f>
        <v>5686.5459180029075</v>
      </c>
      <c r="M106" s="155">
        <f>MAX(M103:M104)</f>
        <v>4365.9806227209983</v>
      </c>
    </row>
  </sheetData>
  <pageMargins left="0.7" right="0.7" top="0.75" bottom="0.75" header="0.3" footer="0.3"/>
  <drawing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EAB6F-1A1B-5840-B9EB-1481F2CCAEC3}">
  <dimension ref="A1:P312"/>
  <sheetViews>
    <sheetView rightToLeft="1" topLeftCell="A157" zoomScale="240" zoomScaleNormal="240" workbookViewId="0">
      <selection activeCell="G147" sqref="G147"/>
    </sheetView>
  </sheetViews>
  <sheetFormatPr baseColWidth="10" defaultRowHeight="16" x14ac:dyDescent="0.2"/>
  <cols>
    <col min="1" max="2" width="10.83203125" style="1"/>
    <col min="3" max="3" width="11.1640625" style="1" bestFit="1" customWidth="1"/>
    <col min="4" max="4" width="10.83203125" style="1"/>
    <col min="5" max="6" width="11.6640625" style="1" bestFit="1" customWidth="1"/>
    <col min="7" max="11" width="10.83203125" style="1"/>
    <col min="12" max="12" width="19.1640625" style="1" customWidth="1"/>
    <col min="13" max="16384" width="10.83203125" style="1"/>
  </cols>
  <sheetData>
    <row r="1" spans="1:8" x14ac:dyDescent="0.2">
      <c r="A1" s="14" t="s">
        <v>1080</v>
      </c>
      <c r="B1" s="14"/>
      <c r="C1" s="14"/>
      <c r="D1" s="14"/>
      <c r="E1" s="14"/>
      <c r="F1" s="14"/>
      <c r="G1" s="14"/>
      <c r="H1" s="14"/>
    </row>
    <row r="2" spans="1:8" ht="17" thickBot="1" x14ac:dyDescent="0.25"/>
    <row r="3" spans="1:8" x14ac:dyDescent="0.2">
      <c r="A3" s="13" t="s">
        <v>1081</v>
      </c>
      <c r="B3" s="5"/>
      <c r="C3" s="5"/>
      <c r="D3" s="5"/>
      <c r="E3" s="5"/>
      <c r="F3" s="5"/>
      <c r="G3" s="5"/>
      <c r="H3" s="6"/>
    </row>
    <row r="4" spans="1:8" x14ac:dyDescent="0.2">
      <c r="A4" s="7" t="s">
        <v>1082</v>
      </c>
      <c r="H4" s="9"/>
    </row>
    <row r="5" spans="1:8" x14ac:dyDescent="0.2">
      <c r="A5" s="7" t="s">
        <v>1083</v>
      </c>
      <c r="H5" s="9"/>
    </row>
    <row r="6" spans="1:8" x14ac:dyDescent="0.2">
      <c r="A6" s="7" t="s">
        <v>1084</v>
      </c>
      <c r="H6" s="9"/>
    </row>
    <row r="7" spans="1:8" ht="17" thickBot="1" x14ac:dyDescent="0.25">
      <c r="A7" s="10" t="s">
        <v>1085</v>
      </c>
      <c r="B7" s="11"/>
      <c r="C7" s="11"/>
      <c r="D7" s="11"/>
      <c r="E7" s="11"/>
      <c r="F7" s="11"/>
      <c r="G7" s="11"/>
      <c r="H7" s="12"/>
    </row>
    <row r="8" spans="1:8" ht="17" thickBot="1" x14ac:dyDescent="0.25"/>
    <row r="9" spans="1:8" x14ac:dyDescent="0.2">
      <c r="A9" s="13" t="s">
        <v>1086</v>
      </c>
      <c r="B9" s="177"/>
      <c r="C9" s="177"/>
      <c r="D9" s="177"/>
      <c r="E9" s="177"/>
      <c r="F9" s="177"/>
      <c r="G9" s="177"/>
      <c r="H9" s="178"/>
    </row>
    <row r="10" spans="1:8" x14ac:dyDescent="0.2">
      <c r="A10" s="7" t="s">
        <v>1087</v>
      </c>
      <c r="H10" s="9"/>
    </row>
    <row r="11" spans="1:8" x14ac:dyDescent="0.2">
      <c r="A11" s="7" t="s">
        <v>1088</v>
      </c>
      <c r="H11" s="9"/>
    </row>
    <row r="12" spans="1:8" x14ac:dyDescent="0.2">
      <c r="A12" s="7" t="s">
        <v>1089</v>
      </c>
      <c r="H12" s="9"/>
    </row>
    <row r="13" spans="1:8" x14ac:dyDescent="0.2">
      <c r="A13" s="7" t="s">
        <v>1263</v>
      </c>
      <c r="H13" s="9"/>
    </row>
    <row r="14" spans="1:8" ht="17" thickBot="1" x14ac:dyDescent="0.25">
      <c r="A14" s="10" t="s">
        <v>1090</v>
      </c>
      <c r="B14" s="11"/>
      <c r="C14" s="11"/>
      <c r="D14" s="11"/>
      <c r="E14" s="11"/>
      <c r="F14" s="11"/>
      <c r="G14" s="11"/>
      <c r="H14" s="12"/>
    </row>
    <row r="15" spans="1:8" ht="17" thickBot="1" x14ac:dyDescent="0.25"/>
    <row r="16" spans="1:8" ht="29" thickBot="1" x14ac:dyDescent="0.35">
      <c r="A16" s="179" t="s">
        <v>1091</v>
      </c>
      <c r="B16" s="180"/>
      <c r="C16" s="180"/>
      <c r="D16" s="180"/>
      <c r="E16" s="180"/>
      <c r="F16" s="180"/>
      <c r="G16" s="180"/>
      <c r="H16" s="181"/>
    </row>
    <row r="17" spans="1:5" x14ac:dyDescent="0.2">
      <c r="A17" s="1" t="s">
        <v>1092</v>
      </c>
    </row>
    <row r="18" spans="1:5" x14ac:dyDescent="0.2">
      <c r="A18" s="1" t="s">
        <v>1093</v>
      </c>
    </row>
    <row r="19" spans="1:5" x14ac:dyDescent="0.2">
      <c r="A19" s="1" t="s">
        <v>1094</v>
      </c>
    </row>
    <row r="21" spans="1:5" x14ac:dyDescent="0.2">
      <c r="A21" s="1" t="s">
        <v>1095</v>
      </c>
    </row>
    <row r="22" spans="1:5" x14ac:dyDescent="0.2">
      <c r="A22" s="1" t="s">
        <v>1096</v>
      </c>
    </row>
    <row r="23" spans="1:5" x14ac:dyDescent="0.2">
      <c r="A23" s="1" t="s">
        <v>1097</v>
      </c>
    </row>
    <row r="25" spans="1:5" x14ac:dyDescent="0.2">
      <c r="A25" s="2" t="s">
        <v>1098</v>
      </c>
    </row>
    <row r="26" spans="1:5" x14ac:dyDescent="0.2">
      <c r="A26" s="2"/>
    </row>
    <row r="27" spans="1:5" x14ac:dyDescent="0.2">
      <c r="A27" s="2"/>
      <c r="B27" s="1" t="s">
        <v>1264</v>
      </c>
      <c r="E27" s="1" t="s">
        <v>1267</v>
      </c>
    </row>
    <row r="28" spans="1:5" x14ac:dyDescent="0.2">
      <c r="A28" s="2"/>
      <c r="B28" s="1" t="s">
        <v>1265</v>
      </c>
      <c r="E28" s="1" t="s">
        <v>1268</v>
      </c>
    </row>
    <row r="29" spans="1:5" x14ac:dyDescent="0.2">
      <c r="A29" s="2"/>
      <c r="B29" s="1" t="s">
        <v>1266</v>
      </c>
    </row>
    <row r="31" spans="1:5" x14ac:dyDescent="0.2">
      <c r="A31" s="2" t="s">
        <v>1099</v>
      </c>
      <c r="B31" s="2"/>
      <c r="C31" s="2"/>
      <c r="D31" s="2"/>
    </row>
    <row r="32" spans="1:5" x14ac:dyDescent="0.2">
      <c r="B32" s="1" t="s">
        <v>1100</v>
      </c>
    </row>
    <row r="33" spans="1:8" x14ac:dyDescent="0.2">
      <c r="B33" s="1" t="s">
        <v>1101</v>
      </c>
    </row>
    <row r="34" spans="1:8" x14ac:dyDescent="0.2">
      <c r="A34" s="1" t="s">
        <v>1102</v>
      </c>
    </row>
    <row r="36" spans="1:8" x14ac:dyDescent="0.2">
      <c r="A36" s="2" t="s">
        <v>1103</v>
      </c>
    </row>
    <row r="37" spans="1:8" x14ac:dyDescent="0.2">
      <c r="A37" s="2" t="s">
        <v>1104</v>
      </c>
    </row>
    <row r="39" spans="1:8" x14ac:dyDescent="0.2">
      <c r="B39" s="1" t="s">
        <v>1105</v>
      </c>
      <c r="G39" s="19" t="s">
        <v>1106</v>
      </c>
      <c r="H39" s="1" t="s">
        <v>1269</v>
      </c>
    </row>
    <row r="40" spans="1:8" x14ac:dyDescent="0.2">
      <c r="B40" s="1" t="s">
        <v>1270</v>
      </c>
      <c r="G40" s="19" t="s">
        <v>1108</v>
      </c>
      <c r="H40" s="1" t="s">
        <v>1271</v>
      </c>
    </row>
    <row r="41" spans="1:8" x14ac:dyDescent="0.2">
      <c r="B41" s="1" t="s">
        <v>1109</v>
      </c>
      <c r="G41" s="19" t="s">
        <v>1106</v>
      </c>
      <c r="H41" s="1" t="s">
        <v>1272</v>
      </c>
    </row>
    <row r="42" spans="1:8" x14ac:dyDescent="0.2">
      <c r="B42" s="1" t="s">
        <v>1110</v>
      </c>
      <c r="G42" s="19" t="s">
        <v>1106</v>
      </c>
      <c r="H42" s="1" t="s">
        <v>1269</v>
      </c>
    </row>
    <row r="44" spans="1:8" x14ac:dyDescent="0.2">
      <c r="A44" s="98" t="s">
        <v>1111</v>
      </c>
      <c r="B44" s="99"/>
      <c r="C44" s="99"/>
      <c r="D44" s="99"/>
      <c r="E44" s="99"/>
      <c r="F44" s="99"/>
      <c r="G44" s="99"/>
      <c r="H44" s="99"/>
    </row>
    <row r="45" spans="1:8" x14ac:dyDescent="0.2">
      <c r="A45" s="1" t="s">
        <v>1112</v>
      </c>
    </row>
    <row r="46" spans="1:8" x14ac:dyDescent="0.2">
      <c r="A46" s="1" t="s">
        <v>1113</v>
      </c>
    </row>
    <row r="47" spans="1:8" x14ac:dyDescent="0.2">
      <c r="A47" s="1" t="s">
        <v>1114</v>
      </c>
    </row>
    <row r="48" spans="1:8" x14ac:dyDescent="0.2">
      <c r="A48" s="1" t="s">
        <v>1115</v>
      </c>
    </row>
    <row r="49" spans="1:16" x14ac:dyDescent="0.2">
      <c r="A49" s="1" t="s">
        <v>1116</v>
      </c>
    </row>
    <row r="50" spans="1:16" x14ac:dyDescent="0.2">
      <c r="A50" s="1" t="s">
        <v>1117</v>
      </c>
    </row>
    <row r="51" spans="1:16" x14ac:dyDescent="0.2">
      <c r="F51" s="94" t="s">
        <v>1281</v>
      </c>
      <c r="G51" s="94"/>
      <c r="H51" s="94"/>
      <c r="L51" s="94" t="s">
        <v>1282</v>
      </c>
      <c r="M51" s="94"/>
      <c r="N51" s="94"/>
    </row>
    <row r="52" spans="1:16" x14ac:dyDescent="0.2">
      <c r="A52" s="1" t="s">
        <v>1118</v>
      </c>
      <c r="F52" s="1" t="s">
        <v>1273</v>
      </c>
      <c r="G52" s="1">
        <v>3000</v>
      </c>
      <c r="L52" s="1" t="s">
        <v>1273</v>
      </c>
      <c r="M52" s="1">
        <v>3000</v>
      </c>
    </row>
    <row r="53" spans="1:16" x14ac:dyDescent="0.2">
      <c r="F53" s="1" t="s">
        <v>1274</v>
      </c>
      <c r="G53" s="1">
        <v>0</v>
      </c>
      <c r="L53" s="1" t="s">
        <v>1274</v>
      </c>
      <c r="M53" s="1">
        <v>0</v>
      </c>
    </row>
    <row r="54" spans="1:16" ht="17" thickBot="1" x14ac:dyDescent="0.25">
      <c r="A54" s="94" t="s">
        <v>656</v>
      </c>
      <c r="B54" s="94" t="s">
        <v>1034</v>
      </c>
      <c r="F54" s="1" t="s">
        <v>1276</v>
      </c>
      <c r="G54" s="202">
        <f>G55-G53-G52</f>
        <v>244.5</v>
      </c>
      <c r="L54" s="1" t="s">
        <v>1276</v>
      </c>
      <c r="M54" s="202">
        <f>M55-M53-M52</f>
        <v>244.5</v>
      </c>
    </row>
    <row r="55" spans="1:16" ht="17" thickBot="1" x14ac:dyDescent="0.25">
      <c r="A55" s="35">
        <v>39995</v>
      </c>
      <c r="B55" s="1">
        <v>3.5</v>
      </c>
      <c r="F55" s="1" t="s">
        <v>1275</v>
      </c>
      <c r="G55" s="54">
        <f>(3000+3%*3000)*3.675/3.5</f>
        <v>3244.5</v>
      </c>
      <c r="J55" s="1" t="s">
        <v>1277</v>
      </c>
      <c r="L55" s="1" t="s">
        <v>1275</v>
      </c>
      <c r="M55" s="203">
        <f>(3000+3%*3000)*3.675/3.5</f>
        <v>3244.5</v>
      </c>
      <c r="P55" s="1" t="s">
        <v>1277</v>
      </c>
    </row>
    <row r="56" spans="1:16" x14ac:dyDescent="0.2">
      <c r="A56" s="35">
        <v>40178</v>
      </c>
      <c r="B56" s="1">
        <v>3.6749999999999998</v>
      </c>
      <c r="F56" s="1" t="s">
        <v>1274</v>
      </c>
      <c r="G56" s="54">
        <f>-3000*6%*3.8/3.5</f>
        <v>-195.42857142857142</v>
      </c>
      <c r="J56" s="1" t="s">
        <v>1278</v>
      </c>
      <c r="L56" s="1" t="s">
        <v>1283</v>
      </c>
      <c r="M56" s="54">
        <f>G56</f>
        <v>-195.42857142857142</v>
      </c>
    </row>
    <row r="57" spans="1:16" ht="17" thickBot="1" x14ac:dyDescent="0.25">
      <c r="A57" s="35">
        <v>40360</v>
      </c>
      <c r="B57" s="1">
        <v>3.8</v>
      </c>
      <c r="F57" s="1" t="s">
        <v>1276</v>
      </c>
      <c r="G57" s="202">
        <f>G58-G56-G55</f>
        <v>416.14285714285734</v>
      </c>
      <c r="L57" s="1" t="s">
        <v>1284</v>
      </c>
      <c r="M57" s="202">
        <f>M58-M56-M55</f>
        <v>208.0714285714289</v>
      </c>
    </row>
    <row r="58" spans="1:16" ht="17" thickBot="1" x14ac:dyDescent="0.25">
      <c r="A58" s="35">
        <v>40543</v>
      </c>
      <c r="B58" s="1">
        <v>3.9249999999999998</v>
      </c>
      <c r="F58" s="1" t="s">
        <v>1279</v>
      </c>
      <c r="G58" s="54">
        <f>(3000+3%*3000)*3.925/3.5</f>
        <v>3465.2142857142858</v>
      </c>
      <c r="J58" s="1" t="s">
        <v>1280</v>
      </c>
      <c r="L58" s="1" t="s">
        <v>1285</v>
      </c>
      <c r="M58" s="203">
        <f>3000*3.8/3.5</f>
        <v>3257.1428571428573</v>
      </c>
      <c r="P58" s="1" t="s">
        <v>1288</v>
      </c>
    </row>
    <row r="59" spans="1:16" x14ac:dyDescent="0.2">
      <c r="L59" s="1" t="s">
        <v>1286</v>
      </c>
      <c r="M59" s="1">
        <v>0</v>
      </c>
    </row>
    <row r="60" spans="1:16" ht="17" thickBot="1" x14ac:dyDescent="0.25">
      <c r="A60" s="1" t="s">
        <v>60</v>
      </c>
      <c r="L60" s="1" t="s">
        <v>1287</v>
      </c>
      <c r="M60" s="202">
        <f>M61-M59-M58</f>
        <v>208.07142857142844</v>
      </c>
    </row>
    <row r="61" spans="1:16" ht="17" thickBot="1" x14ac:dyDescent="0.25">
      <c r="A61" s="1" t="s">
        <v>1119</v>
      </c>
      <c r="L61" s="1" t="s">
        <v>1279</v>
      </c>
      <c r="M61" s="203">
        <f>(3000+3%*3000)*3.925/3.5</f>
        <v>3465.2142857142858</v>
      </c>
      <c r="P61" s="1" t="s">
        <v>1280</v>
      </c>
    </row>
    <row r="62" spans="1:16" x14ac:dyDescent="0.2">
      <c r="A62" s="1" t="s">
        <v>1120</v>
      </c>
    </row>
    <row r="64" spans="1:16" x14ac:dyDescent="0.2">
      <c r="A64" s="2" t="s">
        <v>1121</v>
      </c>
    </row>
    <row r="65" spans="1:8" x14ac:dyDescent="0.2">
      <c r="G65" s="36">
        <v>40178</v>
      </c>
      <c r="H65" s="36">
        <v>40543</v>
      </c>
    </row>
    <row r="66" spans="1:8" x14ac:dyDescent="0.2">
      <c r="A66" s="1" t="s">
        <v>1105</v>
      </c>
      <c r="F66" s="19" t="s">
        <v>1106</v>
      </c>
      <c r="G66" s="21">
        <v>3000</v>
      </c>
      <c r="H66" s="21">
        <f>G69</f>
        <v>3244.5</v>
      </c>
    </row>
    <row r="67" spans="1:8" x14ac:dyDescent="0.2">
      <c r="A67" s="1" t="s">
        <v>1107</v>
      </c>
      <c r="F67" s="19" t="s">
        <v>1108</v>
      </c>
      <c r="G67" s="21">
        <v>0</v>
      </c>
      <c r="H67" s="21">
        <f>-3000*6%*3.8/3.5</f>
        <v>-195.42857142857142</v>
      </c>
    </row>
    <row r="68" spans="1:8" x14ac:dyDescent="0.2">
      <c r="A68" s="1" t="s">
        <v>1109</v>
      </c>
      <c r="F68" s="19" t="s">
        <v>1106</v>
      </c>
      <c r="G68" s="182">
        <f>G69-G67-G66</f>
        <v>244.5</v>
      </c>
      <c r="H68" s="182">
        <f>H69-H67-H66</f>
        <v>416.14285714285734</v>
      </c>
    </row>
    <row r="69" spans="1:8" x14ac:dyDescent="0.2">
      <c r="A69" s="1" t="s">
        <v>1110</v>
      </c>
      <c r="F69" s="19" t="s">
        <v>1106</v>
      </c>
      <c r="G69" s="21">
        <f>3000*(1+6%/2)*3.675/3.5</f>
        <v>3244.5</v>
      </c>
      <c r="H69" s="21">
        <f>3000*(1+6%/2)*3.925/3.5</f>
        <v>3465.2142857142858</v>
      </c>
    </row>
    <row r="71" spans="1:8" x14ac:dyDescent="0.2">
      <c r="A71" s="1" t="s">
        <v>1122</v>
      </c>
    </row>
    <row r="72" spans="1:8" x14ac:dyDescent="0.2">
      <c r="A72" s="1" t="s">
        <v>1123</v>
      </c>
    </row>
    <row r="73" spans="1:8" x14ac:dyDescent="0.2">
      <c r="B73" s="24">
        <v>0.03</v>
      </c>
      <c r="D73" s="24">
        <v>0.03</v>
      </c>
      <c r="F73" s="183">
        <v>0.03</v>
      </c>
    </row>
    <row r="75" spans="1:8" x14ac:dyDescent="0.2">
      <c r="A75" s="56">
        <v>40543</v>
      </c>
      <c r="C75" s="56">
        <v>40360</v>
      </c>
      <c r="E75" s="56">
        <v>40178</v>
      </c>
      <c r="G75" s="56">
        <v>39995</v>
      </c>
    </row>
    <row r="76" spans="1:8" x14ac:dyDescent="0.2">
      <c r="G76" s="19"/>
    </row>
    <row r="77" spans="1:8" x14ac:dyDescent="0.2">
      <c r="A77" s="1" t="s">
        <v>1124</v>
      </c>
      <c r="C77" s="19" t="s">
        <v>1125</v>
      </c>
      <c r="E77" s="1" t="s">
        <v>1124</v>
      </c>
      <c r="G77" s="19" t="s">
        <v>1126</v>
      </c>
    </row>
    <row r="78" spans="1:8" x14ac:dyDescent="0.2">
      <c r="A78" s="1" t="s">
        <v>927</v>
      </c>
      <c r="C78" s="19" t="s">
        <v>1127</v>
      </c>
      <c r="E78" s="1" t="s">
        <v>1128</v>
      </c>
      <c r="G78" s="19" t="s">
        <v>1129</v>
      </c>
    </row>
    <row r="79" spans="1:8" x14ac:dyDescent="0.2">
      <c r="A79" s="1" t="s">
        <v>1130</v>
      </c>
      <c r="C79" s="19" t="s">
        <v>1131</v>
      </c>
      <c r="E79" s="38">
        <f>3000*1.03</f>
        <v>3090</v>
      </c>
      <c r="G79" s="38">
        <v>3000</v>
      </c>
    </row>
    <row r="80" spans="1:8" x14ac:dyDescent="0.2">
      <c r="A80" s="1">
        <f>3000*1.03</f>
        <v>3090</v>
      </c>
      <c r="C80" s="19" t="s">
        <v>1132</v>
      </c>
    </row>
    <row r="81" spans="1:7" x14ac:dyDescent="0.2">
      <c r="C81" s="19" t="s">
        <v>1133</v>
      </c>
      <c r="E81" s="1" t="s">
        <v>1134</v>
      </c>
    </row>
    <row r="82" spans="1:7" x14ac:dyDescent="0.2">
      <c r="A82" s="1" t="s">
        <v>1135</v>
      </c>
      <c r="C82" s="19" t="s">
        <v>1136</v>
      </c>
      <c r="E82" s="1" t="s">
        <v>1137</v>
      </c>
    </row>
    <row r="83" spans="1:7" x14ac:dyDescent="0.2">
      <c r="A83" s="1" t="s">
        <v>1134</v>
      </c>
      <c r="E83" s="1" t="s">
        <v>1138</v>
      </c>
    </row>
    <row r="84" spans="1:7" x14ac:dyDescent="0.2">
      <c r="A84" s="1" t="s">
        <v>1139</v>
      </c>
      <c r="E84" s="1" t="s">
        <v>1140</v>
      </c>
    </row>
    <row r="85" spans="1:7" x14ac:dyDescent="0.2">
      <c r="A85" s="1" t="s">
        <v>1138</v>
      </c>
    </row>
    <row r="86" spans="1:7" x14ac:dyDescent="0.2">
      <c r="A86" s="1" t="s">
        <v>1140</v>
      </c>
      <c r="E86" s="1" t="s">
        <v>1141</v>
      </c>
    </row>
    <row r="87" spans="1:7" x14ac:dyDescent="0.2">
      <c r="E87" s="21">
        <f>E79*3.675/3.5</f>
        <v>3244.5</v>
      </c>
    </row>
    <row r="88" spans="1:7" x14ac:dyDescent="0.2">
      <c r="A88" s="1" t="s">
        <v>1142</v>
      </c>
    </row>
    <row r="89" spans="1:7" x14ac:dyDescent="0.2">
      <c r="A89" s="21">
        <f>A80*3.925/3.5</f>
        <v>3465.2142857142858</v>
      </c>
    </row>
    <row r="91" spans="1:7" x14ac:dyDescent="0.2">
      <c r="A91" s="2" t="s">
        <v>1143</v>
      </c>
    </row>
    <row r="93" spans="1:7" ht="17" thickBot="1" x14ac:dyDescent="0.25"/>
    <row r="94" spans="1:7" x14ac:dyDescent="0.2">
      <c r="A94" s="4"/>
      <c r="B94" s="5"/>
      <c r="C94" s="5"/>
      <c r="D94" s="5"/>
      <c r="E94" s="5"/>
      <c r="F94" s="5"/>
      <c r="G94" s="184">
        <v>40543</v>
      </c>
    </row>
    <row r="95" spans="1:7" x14ac:dyDescent="0.2">
      <c r="A95" s="7" t="s">
        <v>1144</v>
      </c>
      <c r="F95" s="19" t="s">
        <v>1106</v>
      </c>
      <c r="G95" s="185">
        <f>H66</f>
        <v>3244.5</v>
      </c>
    </row>
    <row r="96" spans="1:7" x14ac:dyDescent="0.2">
      <c r="A96" s="7" t="s">
        <v>1145</v>
      </c>
      <c r="F96" s="19" t="s">
        <v>1108</v>
      </c>
      <c r="G96" s="185">
        <f>-3000*6%*3.8/3.5</f>
        <v>-195.42857142857142</v>
      </c>
    </row>
    <row r="97" spans="1:8" x14ac:dyDescent="0.2">
      <c r="A97" s="7" t="s">
        <v>1146</v>
      </c>
      <c r="F97" s="19" t="s">
        <v>1106</v>
      </c>
      <c r="G97" s="186">
        <f>G98-G96-G95</f>
        <v>208.0714285714289</v>
      </c>
    </row>
    <row r="98" spans="1:8" ht="17" thickBot="1" x14ac:dyDescent="0.25">
      <c r="A98" s="10" t="s">
        <v>1147</v>
      </c>
      <c r="B98" s="11"/>
      <c r="C98" s="11"/>
      <c r="D98" s="11"/>
      <c r="E98" s="11"/>
      <c r="F98" s="187" t="s">
        <v>1106</v>
      </c>
      <c r="G98" s="188">
        <f>3000*3.8/3.5</f>
        <v>3257.1428571428573</v>
      </c>
    </row>
    <row r="99" spans="1:8" x14ac:dyDescent="0.2">
      <c r="A99" s="4" t="s">
        <v>1148</v>
      </c>
      <c r="B99" s="5"/>
      <c r="C99" s="5"/>
      <c r="D99" s="5"/>
      <c r="E99" s="5"/>
      <c r="F99" s="189" t="s">
        <v>1108</v>
      </c>
      <c r="G99" s="190">
        <v>0</v>
      </c>
    </row>
    <row r="100" spans="1:8" x14ac:dyDescent="0.2">
      <c r="A100" s="7" t="s">
        <v>1149</v>
      </c>
      <c r="F100" s="19" t="s">
        <v>1106</v>
      </c>
      <c r="G100" s="186">
        <f>G101-G98-G99</f>
        <v>208.07142857142844</v>
      </c>
    </row>
    <row r="101" spans="1:8" ht="17" thickBot="1" x14ac:dyDescent="0.25">
      <c r="A101" s="10" t="s">
        <v>1150</v>
      </c>
      <c r="B101" s="11"/>
      <c r="C101" s="11"/>
      <c r="D101" s="11"/>
      <c r="E101" s="11"/>
      <c r="F101" s="187" t="s">
        <v>1106</v>
      </c>
      <c r="G101" s="188">
        <f>H69</f>
        <v>3465.2142857142858</v>
      </c>
    </row>
    <row r="103" spans="1:8" x14ac:dyDescent="0.2">
      <c r="A103" s="98" t="s">
        <v>1151</v>
      </c>
      <c r="B103" s="99"/>
      <c r="C103" s="99"/>
      <c r="D103" s="99"/>
      <c r="E103" s="99"/>
      <c r="F103" s="99"/>
      <c r="G103" s="99"/>
      <c r="H103" s="99"/>
    </row>
    <row r="104" spans="1:8" x14ac:dyDescent="0.2">
      <c r="A104" s="1" t="s">
        <v>1152</v>
      </c>
    </row>
    <row r="105" spans="1:8" x14ac:dyDescent="0.2">
      <c r="A105" s="1" t="s">
        <v>1153</v>
      </c>
    </row>
    <row r="106" spans="1:8" x14ac:dyDescent="0.2">
      <c r="A106" s="1" t="s">
        <v>1114</v>
      </c>
    </row>
    <row r="107" spans="1:8" x14ac:dyDescent="0.2">
      <c r="A107" s="1" t="s">
        <v>1154</v>
      </c>
    </row>
    <row r="108" spans="1:8" x14ac:dyDescent="0.2">
      <c r="A108" s="1" t="s">
        <v>1155</v>
      </c>
    </row>
    <row r="109" spans="1:8" x14ac:dyDescent="0.2">
      <c r="A109" s="1" t="s">
        <v>1156</v>
      </c>
    </row>
    <row r="111" spans="1:8" x14ac:dyDescent="0.2">
      <c r="A111" s="1" t="s">
        <v>1118</v>
      </c>
    </row>
    <row r="113" spans="1:9" x14ac:dyDescent="0.2">
      <c r="A113" s="94" t="s">
        <v>656</v>
      </c>
      <c r="B113" s="94" t="s">
        <v>1034</v>
      </c>
      <c r="F113" s="1" t="s">
        <v>1289</v>
      </c>
      <c r="I113" s="21">
        <v>10000</v>
      </c>
    </row>
    <row r="114" spans="1:9" x14ac:dyDescent="0.2">
      <c r="A114" s="35">
        <v>40087</v>
      </c>
      <c r="B114" s="1">
        <v>3.8</v>
      </c>
      <c r="F114" s="1" t="s">
        <v>1290</v>
      </c>
      <c r="I114" s="21">
        <v>0</v>
      </c>
    </row>
    <row r="115" spans="1:9" ht="17" thickBot="1" x14ac:dyDescent="0.25">
      <c r="A115" s="35">
        <v>40178</v>
      </c>
      <c r="B115" s="1">
        <v>3.9</v>
      </c>
      <c r="F115" s="1" t="s">
        <v>1293</v>
      </c>
      <c r="I115" s="182">
        <f>I116-I114-I113</f>
        <v>468.4210526315801</v>
      </c>
    </row>
    <row r="116" spans="1:9" ht="17" thickBot="1" x14ac:dyDescent="0.25">
      <c r="A116" s="35">
        <v>40360</v>
      </c>
      <c r="B116" s="1">
        <v>4.05</v>
      </c>
      <c r="F116" s="1" t="s">
        <v>1275</v>
      </c>
      <c r="I116" s="204">
        <f>10000*(1+8%*3/12)*3.9/3.8</f>
        <v>10468.42105263158</v>
      </c>
    </row>
    <row r="117" spans="1:9" x14ac:dyDescent="0.2">
      <c r="A117" s="35">
        <v>40452</v>
      </c>
      <c r="B117" s="1">
        <v>4.3</v>
      </c>
      <c r="F117" s="1" t="s">
        <v>1291</v>
      </c>
      <c r="I117" s="19">
        <v>0</v>
      </c>
    </row>
    <row r="118" spans="1:9" ht="17" thickBot="1" x14ac:dyDescent="0.25">
      <c r="A118" s="35">
        <v>40543</v>
      </c>
      <c r="B118" s="1">
        <v>4.5</v>
      </c>
      <c r="F118" s="1" t="s">
        <v>1294</v>
      </c>
      <c r="I118" s="182">
        <f>I119-I117-I116</f>
        <v>828.94736842105158</v>
      </c>
    </row>
    <row r="119" spans="1:9" ht="17" thickBot="1" x14ac:dyDescent="0.25">
      <c r="F119" s="1" t="s">
        <v>1285</v>
      </c>
      <c r="I119" s="204">
        <f>10000*(1+8%*9/12)*4.05/3.8</f>
        <v>11297.368421052632</v>
      </c>
    </row>
    <row r="120" spans="1:9" x14ac:dyDescent="0.2">
      <c r="F120" s="1" t="s">
        <v>1292</v>
      </c>
      <c r="I120" s="21">
        <f>-10000*8%*4.3/3.8</f>
        <v>-905.26315789473688</v>
      </c>
    </row>
    <row r="121" spans="1:9" ht="17" thickBot="1" x14ac:dyDescent="0.25">
      <c r="F121" s="1" t="s">
        <v>1295</v>
      </c>
      <c r="I121" s="182">
        <f>I122-I120-I119</f>
        <v>1686.8421052631584</v>
      </c>
    </row>
    <row r="122" spans="1:9" ht="17" thickBot="1" x14ac:dyDescent="0.25">
      <c r="F122" s="1" t="s">
        <v>1279</v>
      </c>
      <c r="I122" s="204">
        <f>10000*(1+8%*3/12)*4.5/3.8</f>
        <v>12078.947368421053</v>
      </c>
    </row>
    <row r="123" spans="1:9" x14ac:dyDescent="0.2">
      <c r="A123" s="1" t="s">
        <v>60</v>
      </c>
    </row>
    <row r="124" spans="1:9" x14ac:dyDescent="0.2">
      <c r="A124" s="1" t="s">
        <v>1158</v>
      </c>
    </row>
    <row r="125" spans="1:9" x14ac:dyDescent="0.2">
      <c r="A125" s="1" t="s">
        <v>1159</v>
      </c>
    </row>
    <row r="126" spans="1:9" ht="17" thickBot="1" x14ac:dyDescent="0.25"/>
    <row r="127" spans="1:9" ht="17" thickBot="1" x14ac:dyDescent="0.25">
      <c r="A127" s="16" t="s">
        <v>1158</v>
      </c>
      <c r="B127" s="33"/>
      <c r="C127" s="33"/>
      <c r="D127" s="33"/>
      <c r="E127" s="33"/>
      <c r="F127" s="33"/>
      <c r="G127" s="33"/>
      <c r="H127" s="34"/>
    </row>
    <row r="128" spans="1:9" x14ac:dyDescent="0.2">
      <c r="G128" s="36">
        <v>40178</v>
      </c>
      <c r="H128" s="36">
        <v>40543</v>
      </c>
    </row>
    <row r="129" spans="1:8" x14ac:dyDescent="0.2">
      <c r="A129" s="1" t="s">
        <v>1105</v>
      </c>
      <c r="F129" s="19" t="s">
        <v>1106</v>
      </c>
      <c r="G129" s="21">
        <v>10000</v>
      </c>
      <c r="H129" s="21">
        <f>G132</f>
        <v>10468.42105263158</v>
      </c>
    </row>
    <row r="130" spans="1:8" x14ac:dyDescent="0.2">
      <c r="A130" s="1" t="s">
        <v>1107</v>
      </c>
      <c r="F130" s="19" t="s">
        <v>1108</v>
      </c>
      <c r="G130" s="21">
        <v>0</v>
      </c>
      <c r="H130" s="21">
        <f>-10000*8%*4.3/3.8</f>
        <v>-905.26315789473688</v>
      </c>
    </row>
    <row r="131" spans="1:8" x14ac:dyDescent="0.2">
      <c r="A131" s="1" t="s">
        <v>1109</v>
      </c>
      <c r="F131" s="19" t="s">
        <v>1106</v>
      </c>
      <c r="G131" s="182">
        <f>G132-G130-G129</f>
        <v>468.4210526315801</v>
      </c>
      <c r="H131" s="182">
        <f>H132-H130-H129</f>
        <v>2515.78947368421</v>
      </c>
    </row>
    <row r="132" spans="1:8" x14ac:dyDescent="0.2">
      <c r="A132" s="1" t="s">
        <v>1110</v>
      </c>
      <c r="F132" s="19" t="s">
        <v>1106</v>
      </c>
      <c r="G132" s="21">
        <f>10000*(1+8%/4)*3.9/3.8</f>
        <v>10468.42105263158</v>
      </c>
      <c r="H132" s="21">
        <f>10000*(1+8%/4)*4.5/3.8</f>
        <v>12078.947368421053</v>
      </c>
    </row>
    <row r="133" spans="1:8" ht="17" thickBot="1" x14ac:dyDescent="0.25"/>
    <row r="134" spans="1:8" ht="17" thickBot="1" x14ac:dyDescent="0.25">
      <c r="A134" s="16" t="s">
        <v>1159</v>
      </c>
      <c r="B134" s="17"/>
      <c r="C134" s="17"/>
      <c r="D134" s="17"/>
      <c r="E134" s="17"/>
      <c r="F134" s="17"/>
      <c r="G134" s="17"/>
      <c r="H134" s="18"/>
    </row>
    <row r="136" spans="1:8" x14ac:dyDescent="0.2">
      <c r="A136" s="1" t="s">
        <v>1160</v>
      </c>
      <c r="F136" s="73">
        <f>G132</f>
        <v>10468.42105263158</v>
      </c>
      <c r="G136" s="1" t="s">
        <v>1161</v>
      </c>
    </row>
    <row r="137" spans="1:8" x14ac:dyDescent="0.2">
      <c r="A137" s="1" t="s">
        <v>1162</v>
      </c>
      <c r="F137" s="73">
        <v>0</v>
      </c>
      <c r="G137" s="1" t="s">
        <v>1163</v>
      </c>
    </row>
    <row r="138" spans="1:8" x14ac:dyDescent="0.2">
      <c r="A138" s="1" t="s">
        <v>1164</v>
      </c>
      <c r="F138" s="191">
        <f>F139-F137-F136</f>
        <v>828.94736842105158</v>
      </c>
      <c r="G138" s="1" t="s">
        <v>1165</v>
      </c>
    </row>
    <row r="139" spans="1:8" x14ac:dyDescent="0.2">
      <c r="A139" s="2" t="s">
        <v>1166</v>
      </c>
      <c r="B139" s="2"/>
      <c r="C139" s="2"/>
      <c r="D139" s="2"/>
      <c r="E139" s="2"/>
      <c r="F139" s="192">
        <f>10000*(1+8%*9/12)*4.05/3.8</f>
        <v>11297.368421052632</v>
      </c>
      <c r="G139" s="1" t="s">
        <v>1167</v>
      </c>
    </row>
    <row r="140" spans="1:8" x14ac:dyDescent="0.2">
      <c r="A140" s="1" t="s">
        <v>1168</v>
      </c>
      <c r="F140" s="73">
        <f>-10000*8%*4.3/3.8</f>
        <v>-905.26315789473688</v>
      </c>
      <c r="G140" s="1" t="s">
        <v>1163</v>
      </c>
    </row>
    <row r="141" spans="1:8" x14ac:dyDescent="0.2">
      <c r="A141" s="1" t="s">
        <v>1169</v>
      </c>
      <c r="F141" s="191">
        <f>F142-F139-F140</f>
        <v>1686.8421052631586</v>
      </c>
      <c r="G141" s="1" t="s">
        <v>1165</v>
      </c>
    </row>
    <row r="142" spans="1:8" x14ac:dyDescent="0.2">
      <c r="A142" s="2" t="s">
        <v>1170</v>
      </c>
      <c r="B142" s="2"/>
      <c r="C142" s="2"/>
      <c r="D142" s="2"/>
      <c r="E142" s="2"/>
      <c r="F142" s="192">
        <f>10000*(1+8%/4)*4.5/3.8</f>
        <v>12078.947368421053</v>
      </c>
      <c r="G142" s="1" t="s">
        <v>1167</v>
      </c>
    </row>
    <row r="143" spans="1:8" ht="17" thickBot="1" x14ac:dyDescent="0.25"/>
    <row r="144" spans="1:8" ht="29" thickBot="1" x14ac:dyDescent="0.35">
      <c r="A144" s="179" t="s">
        <v>1171</v>
      </c>
      <c r="B144" s="180"/>
      <c r="C144" s="180"/>
      <c r="D144" s="180"/>
      <c r="E144" s="180"/>
      <c r="F144" s="180"/>
      <c r="G144" s="180"/>
      <c r="H144" s="181"/>
    </row>
    <row r="146" spans="1:3" x14ac:dyDescent="0.2">
      <c r="A146" s="2" t="s">
        <v>1172</v>
      </c>
    </row>
    <row r="147" spans="1:3" x14ac:dyDescent="0.2">
      <c r="A147" s="1" t="s">
        <v>1173</v>
      </c>
    </row>
    <row r="148" spans="1:3" x14ac:dyDescent="0.2">
      <c r="A148" s="1" t="s">
        <v>1174</v>
      </c>
    </row>
    <row r="149" spans="1:3" x14ac:dyDescent="0.2">
      <c r="C149" s="1" t="s">
        <v>922</v>
      </c>
    </row>
    <row r="150" spans="1:3" x14ac:dyDescent="0.2">
      <c r="C150" s="1" t="s">
        <v>1175</v>
      </c>
    </row>
    <row r="151" spans="1:3" x14ac:dyDescent="0.2">
      <c r="C151" s="1" t="s">
        <v>1176</v>
      </c>
    </row>
    <row r="153" spans="1:3" x14ac:dyDescent="0.2">
      <c r="A153" s="2" t="s">
        <v>1000</v>
      </c>
    </row>
    <row r="154" spans="1:3" x14ac:dyDescent="0.2">
      <c r="A154" s="1" t="s">
        <v>1177</v>
      </c>
    </row>
    <row r="155" spans="1:3" x14ac:dyDescent="0.2">
      <c r="A155" s="1" t="s">
        <v>1178</v>
      </c>
    </row>
    <row r="156" spans="1:3" x14ac:dyDescent="0.2">
      <c r="A156" s="1" t="s">
        <v>1179</v>
      </c>
    </row>
    <row r="158" spans="1:3" x14ac:dyDescent="0.2">
      <c r="A158" s="1" t="s">
        <v>1180</v>
      </c>
    </row>
    <row r="160" spans="1:3" x14ac:dyDescent="0.2">
      <c r="A160" s="2" t="s">
        <v>1181</v>
      </c>
    </row>
    <row r="161" spans="1:10" x14ac:dyDescent="0.2">
      <c r="A161" s="1" t="s">
        <v>1182</v>
      </c>
    </row>
    <row r="162" spans="1:10" x14ac:dyDescent="0.2">
      <c r="A162" s="1" t="s">
        <v>1183</v>
      </c>
    </row>
    <row r="163" spans="1:10" x14ac:dyDescent="0.2">
      <c r="A163" s="1" t="s">
        <v>1184</v>
      </c>
    </row>
    <row r="165" spans="1:10" x14ac:dyDescent="0.2">
      <c r="A165" s="98" t="s">
        <v>1185</v>
      </c>
      <c r="B165" s="99"/>
      <c r="C165" s="99"/>
      <c r="D165" s="99"/>
      <c r="E165" s="99"/>
      <c r="F165" s="99"/>
      <c r="G165" s="99"/>
      <c r="H165" s="99"/>
    </row>
    <row r="166" spans="1:10" x14ac:dyDescent="0.2">
      <c r="A166" s="1" t="s">
        <v>1186</v>
      </c>
    </row>
    <row r="167" spans="1:10" x14ac:dyDescent="0.2">
      <c r="A167" s="1" t="s">
        <v>1187</v>
      </c>
    </row>
    <row r="168" spans="1:10" x14ac:dyDescent="0.2">
      <c r="A168" s="1" t="s">
        <v>1188</v>
      </c>
    </row>
    <row r="170" spans="1:10" x14ac:dyDescent="0.2">
      <c r="A170" s="1" t="s">
        <v>1189</v>
      </c>
      <c r="J170" s="1" t="s">
        <v>1157</v>
      </c>
    </row>
    <row r="171" spans="1:10" x14ac:dyDescent="0.2">
      <c r="A171" s="1" t="s">
        <v>1190</v>
      </c>
      <c r="J171" s="1" t="s">
        <v>1191</v>
      </c>
    </row>
    <row r="172" spans="1:10" x14ac:dyDescent="0.2">
      <c r="A172" s="1" t="s">
        <v>1192</v>
      </c>
      <c r="J172" s="1" t="s">
        <v>1193</v>
      </c>
    </row>
    <row r="173" spans="1:10" x14ac:dyDescent="0.2">
      <c r="J173" s="1" t="s">
        <v>1194</v>
      </c>
    </row>
    <row r="174" spans="1:10" x14ac:dyDescent="0.2">
      <c r="A174" s="1" t="s">
        <v>1195</v>
      </c>
      <c r="J174" s="1" t="s">
        <v>1196</v>
      </c>
    </row>
    <row r="175" spans="1:10" x14ac:dyDescent="0.2">
      <c r="A175" s="1" t="s">
        <v>1197</v>
      </c>
      <c r="J175" s="1" t="s">
        <v>1198</v>
      </c>
    </row>
    <row r="176" spans="1:10" x14ac:dyDescent="0.2">
      <c r="D176" s="49">
        <v>41274</v>
      </c>
      <c r="E176" s="49">
        <v>41639</v>
      </c>
      <c r="F176" s="49">
        <v>42004</v>
      </c>
      <c r="G176" s="49">
        <v>42369</v>
      </c>
      <c r="J176" s="1" t="s">
        <v>1199</v>
      </c>
    </row>
    <row r="177" spans="1:10" x14ac:dyDescent="0.2">
      <c r="B177" s="1" t="s">
        <v>1200</v>
      </c>
      <c r="D177" s="73">
        <v>55028</v>
      </c>
      <c r="E177" s="73">
        <v>54309</v>
      </c>
      <c r="F177" s="73">
        <v>53972</v>
      </c>
      <c r="G177" s="73">
        <v>50464</v>
      </c>
      <c r="J177" s="1" t="s">
        <v>1201</v>
      </c>
    </row>
    <row r="178" spans="1:10" x14ac:dyDescent="0.2">
      <c r="B178" s="1" t="s">
        <v>1202</v>
      </c>
      <c r="D178" s="73">
        <v>10362</v>
      </c>
      <c r="E178" s="73">
        <v>14685</v>
      </c>
      <c r="F178" s="73">
        <v>29729</v>
      </c>
      <c r="G178" s="73">
        <v>21363</v>
      </c>
    </row>
    <row r="179" spans="1:10" x14ac:dyDescent="0.2">
      <c r="B179" s="1" t="s">
        <v>1203</v>
      </c>
      <c r="D179" s="73">
        <f>(D177-D178)*30%</f>
        <v>13399.8</v>
      </c>
      <c r="E179" s="73">
        <f t="shared" ref="E179:G179" si="0">(E177-E178)*30%</f>
        <v>11887.199999999999</v>
      </c>
      <c r="F179" s="73">
        <f t="shared" si="0"/>
        <v>7272.9</v>
      </c>
      <c r="G179" s="73">
        <f t="shared" si="0"/>
        <v>8730.2999999999993</v>
      </c>
    </row>
    <row r="181" spans="1:10" x14ac:dyDescent="0.2">
      <c r="A181" s="1" t="s">
        <v>1204</v>
      </c>
    </row>
    <row r="183" spans="1:10" x14ac:dyDescent="0.2">
      <c r="A183" s="1" t="s">
        <v>1205</v>
      </c>
    </row>
    <row r="184" spans="1:10" x14ac:dyDescent="0.2">
      <c r="A184" s="1" t="s">
        <v>1206</v>
      </c>
    </row>
    <row r="186" spans="1:10" x14ac:dyDescent="0.2">
      <c r="A186" s="2" t="s">
        <v>1207</v>
      </c>
    </row>
    <row r="187" spans="1:10" x14ac:dyDescent="0.2">
      <c r="A187" s="1" t="s">
        <v>1208</v>
      </c>
    </row>
    <row r="188" spans="1:10" x14ac:dyDescent="0.2">
      <c r="A188" s="1" t="s">
        <v>1209</v>
      </c>
    </row>
    <row r="190" spans="1:10" x14ac:dyDescent="0.2">
      <c r="A190" s="2" t="s">
        <v>506</v>
      </c>
    </row>
    <row r="192" spans="1:10" x14ac:dyDescent="0.2">
      <c r="A192" s="1" t="s">
        <v>1210</v>
      </c>
    </row>
    <row r="194" spans="1:6" x14ac:dyDescent="0.2">
      <c r="A194" s="193" t="s">
        <v>1211</v>
      </c>
    </row>
    <row r="195" spans="1:6" x14ac:dyDescent="0.2">
      <c r="A195" s="1" t="s">
        <v>1190</v>
      </c>
    </row>
    <row r="196" spans="1:6" x14ac:dyDescent="0.2">
      <c r="A196" s="1" t="s">
        <v>1192</v>
      </c>
    </row>
    <row r="198" spans="1:6" x14ac:dyDescent="0.2">
      <c r="A198" s="1" t="s">
        <v>1212</v>
      </c>
    </row>
    <row r="199" spans="1:6" x14ac:dyDescent="0.2">
      <c r="A199" s="1" t="s">
        <v>1213</v>
      </c>
      <c r="E199" s="1" t="s">
        <v>1214</v>
      </c>
      <c r="F199" s="1" t="s">
        <v>1215</v>
      </c>
    </row>
    <row r="201" spans="1:6" x14ac:dyDescent="0.2">
      <c r="A201" s="1" t="s">
        <v>1216</v>
      </c>
    </row>
    <row r="203" spans="1:6" x14ac:dyDescent="0.2">
      <c r="A203" s="1" t="s">
        <v>1217</v>
      </c>
      <c r="E203" s="24">
        <v>0.05</v>
      </c>
      <c r="F203" s="1" t="s">
        <v>967</v>
      </c>
    </row>
    <row r="204" spans="1:6" x14ac:dyDescent="0.2">
      <c r="A204" s="1" t="s">
        <v>1218</v>
      </c>
      <c r="E204" s="1">
        <v>5</v>
      </c>
      <c r="F204" s="1" t="s">
        <v>1219</v>
      </c>
    </row>
    <row r="205" spans="1:6" x14ac:dyDescent="0.2">
      <c r="A205" s="1" t="s">
        <v>1220</v>
      </c>
      <c r="E205" s="1">
        <v>30000</v>
      </c>
      <c r="F205" s="1" t="s">
        <v>1215</v>
      </c>
    </row>
    <row r="206" spans="1:6" x14ac:dyDescent="0.2">
      <c r="A206" s="1" t="s">
        <v>1221</v>
      </c>
      <c r="E206" s="1">
        <v>0</v>
      </c>
      <c r="F206" s="1" t="s">
        <v>1222</v>
      </c>
    </row>
    <row r="208" spans="1:6" x14ac:dyDescent="0.2">
      <c r="E208" s="194">
        <f>PV(E203,E204,E205,E206)</f>
        <v>-129884.30011892464</v>
      </c>
      <c r="F208" s="1" t="s">
        <v>1223</v>
      </c>
    </row>
    <row r="210" spans="1:7" x14ac:dyDescent="0.2">
      <c r="A210" s="1" t="s">
        <v>1224</v>
      </c>
      <c r="E210" s="191">
        <f>-E208</f>
        <v>129884.30011892464</v>
      </c>
    </row>
    <row r="212" spans="1:7" x14ac:dyDescent="0.2">
      <c r="A212" s="193" t="s">
        <v>1195</v>
      </c>
    </row>
    <row r="213" spans="1:7" x14ac:dyDescent="0.2">
      <c r="A213" s="1" t="s">
        <v>1197</v>
      </c>
    </row>
    <row r="214" spans="1:7" x14ac:dyDescent="0.2">
      <c r="D214" s="49">
        <v>41274</v>
      </c>
      <c r="E214" s="49">
        <v>41639</v>
      </c>
      <c r="F214" s="49">
        <v>42004</v>
      </c>
      <c r="G214" s="49">
        <v>42369</v>
      </c>
    </row>
    <row r="215" spans="1:7" x14ac:dyDescent="0.2">
      <c r="B215" s="1" t="s">
        <v>1200</v>
      </c>
      <c r="D215" s="73">
        <v>55028</v>
      </c>
      <c r="E215" s="73">
        <v>54309</v>
      </c>
      <c r="F215" s="73">
        <v>53972</v>
      </c>
      <c r="G215" s="73">
        <v>50464</v>
      </c>
    </row>
    <row r="216" spans="1:7" x14ac:dyDescent="0.2">
      <c r="B216" s="1" t="s">
        <v>1202</v>
      </c>
      <c r="D216" s="73">
        <v>10362</v>
      </c>
      <c r="E216" s="73">
        <v>14685</v>
      </c>
      <c r="F216" s="73">
        <v>29729</v>
      </c>
      <c r="G216" s="73">
        <v>21363</v>
      </c>
    </row>
    <row r="217" spans="1:7" x14ac:dyDescent="0.2">
      <c r="B217" s="1" t="s">
        <v>1203</v>
      </c>
      <c r="D217" s="73">
        <f>(D215-D216)*30%</f>
        <v>13399.8</v>
      </c>
      <c r="E217" s="73">
        <f t="shared" ref="E217:G217" si="1">(E215-E216)*30%</f>
        <v>11887.199999999999</v>
      </c>
      <c r="F217" s="73">
        <f t="shared" si="1"/>
        <v>7272.9</v>
      </c>
      <c r="G217" s="73">
        <f t="shared" si="1"/>
        <v>8730.2999999999993</v>
      </c>
    </row>
    <row r="219" spans="1:7" x14ac:dyDescent="0.2">
      <c r="A219" s="1" t="s">
        <v>1225</v>
      </c>
    </row>
    <row r="220" spans="1:7" x14ac:dyDescent="0.2">
      <c r="B220" s="1" t="s">
        <v>1226</v>
      </c>
      <c r="D220" s="73">
        <f>D215-D216</f>
        <v>44666</v>
      </c>
      <c r="E220" s="73">
        <f t="shared" ref="E220:G220" si="2">E215-E216</f>
        <v>39624</v>
      </c>
      <c r="F220" s="73">
        <f t="shared" si="2"/>
        <v>24243</v>
      </c>
      <c r="G220" s="73">
        <f t="shared" si="2"/>
        <v>29101</v>
      </c>
    </row>
    <row r="222" spans="1:7" x14ac:dyDescent="0.2">
      <c r="A222" s="1" t="s">
        <v>1227</v>
      </c>
    </row>
    <row r="223" spans="1:7" x14ac:dyDescent="0.2">
      <c r="D223" s="1" t="s">
        <v>1228</v>
      </c>
      <c r="E223" s="1" t="s">
        <v>1229</v>
      </c>
    </row>
    <row r="224" spans="1:7" x14ac:dyDescent="0.2">
      <c r="D224" s="35">
        <v>41274</v>
      </c>
      <c r="E224" s="73">
        <f>D220</f>
        <v>44666</v>
      </c>
    </row>
    <row r="225" spans="1:7" x14ac:dyDescent="0.2">
      <c r="D225" s="35">
        <v>41639</v>
      </c>
      <c r="E225" s="73">
        <f>E220</f>
        <v>39624</v>
      </c>
    </row>
    <row r="226" spans="1:7" x14ac:dyDescent="0.2">
      <c r="D226" s="35">
        <v>42004</v>
      </c>
      <c r="E226" s="73">
        <f>F220</f>
        <v>24243</v>
      </c>
    </row>
    <row r="227" spans="1:7" x14ac:dyDescent="0.2">
      <c r="D227" s="35">
        <v>42369</v>
      </c>
      <c r="E227" s="73">
        <f>G220</f>
        <v>29101</v>
      </c>
    </row>
    <row r="229" spans="1:7" x14ac:dyDescent="0.2">
      <c r="A229" s="1" t="s">
        <v>1230</v>
      </c>
      <c r="E229" s="191">
        <f>NPV(5%,E224:E227)</f>
        <v>123362.66329358652</v>
      </c>
      <c r="F229" s="1" t="s">
        <v>968</v>
      </c>
    </row>
    <row r="231" spans="1:7" x14ac:dyDescent="0.2">
      <c r="A231" s="193" t="s">
        <v>1205</v>
      </c>
    </row>
    <row r="232" spans="1:7" x14ac:dyDescent="0.2">
      <c r="A232" s="1" t="s">
        <v>1206</v>
      </c>
    </row>
    <row r="234" spans="1:7" x14ac:dyDescent="0.2">
      <c r="D234" s="1" t="s">
        <v>1228</v>
      </c>
      <c r="E234" s="1" t="s">
        <v>1229</v>
      </c>
    </row>
    <row r="235" spans="1:7" x14ac:dyDescent="0.2">
      <c r="D235" s="35">
        <v>41639</v>
      </c>
      <c r="E235" s="73">
        <f t="shared" ref="E235:E236" si="3">E225</f>
        <v>39624</v>
      </c>
    </row>
    <row r="236" spans="1:7" x14ac:dyDescent="0.2">
      <c r="D236" s="35">
        <v>42004</v>
      </c>
      <c r="E236" s="73">
        <f t="shared" si="3"/>
        <v>24243</v>
      </c>
    </row>
    <row r="237" spans="1:7" x14ac:dyDescent="0.2">
      <c r="D237" s="35">
        <v>42369</v>
      </c>
      <c r="E237" s="73">
        <f>E227+17000</f>
        <v>46101</v>
      </c>
      <c r="F237" s="1" t="s">
        <v>1231</v>
      </c>
      <c r="G237" s="73">
        <f>E227</f>
        <v>29101</v>
      </c>
    </row>
    <row r="239" spans="1:7" x14ac:dyDescent="0.2">
      <c r="A239" s="1" t="s">
        <v>1232</v>
      </c>
      <c r="E239" s="191">
        <f>NPV(5%,E235:E237)</f>
        <v>99550.035633300926</v>
      </c>
      <c r="F239" s="1" t="s">
        <v>968</v>
      </c>
    </row>
    <row r="241" spans="1:8" x14ac:dyDescent="0.2">
      <c r="A241" s="98" t="s">
        <v>1233</v>
      </c>
      <c r="B241" s="99"/>
      <c r="C241" s="99"/>
      <c r="D241" s="99"/>
      <c r="E241" s="99"/>
      <c r="F241" s="99"/>
      <c r="G241" s="99"/>
      <c r="H241" s="99"/>
    </row>
    <row r="243" spans="1:8" x14ac:dyDescent="0.2">
      <c r="A243" s="1" t="s">
        <v>1234</v>
      </c>
    </row>
    <row r="244" spans="1:8" x14ac:dyDescent="0.2">
      <c r="A244" s="1" t="s">
        <v>1235</v>
      </c>
    </row>
    <row r="245" spans="1:8" x14ac:dyDescent="0.2">
      <c r="A245" s="1" t="s">
        <v>1236</v>
      </c>
    </row>
    <row r="246" spans="1:8" x14ac:dyDescent="0.2">
      <c r="A246" s="1" t="s">
        <v>1237</v>
      </c>
    </row>
    <row r="247" spans="1:8" x14ac:dyDescent="0.2">
      <c r="A247" s="1" t="s">
        <v>1238</v>
      </c>
    </row>
    <row r="249" spans="1:8" x14ac:dyDescent="0.2">
      <c r="A249" s="1" t="s">
        <v>1239</v>
      </c>
      <c r="B249" s="1" t="s">
        <v>1240</v>
      </c>
    </row>
    <row r="250" spans="1:8" x14ac:dyDescent="0.2">
      <c r="B250" s="1" t="s">
        <v>1241</v>
      </c>
    </row>
    <row r="251" spans="1:8" x14ac:dyDescent="0.2">
      <c r="B251" s="1" t="s">
        <v>1242</v>
      </c>
    </row>
    <row r="252" spans="1:8" x14ac:dyDescent="0.2">
      <c r="B252" s="1" t="s">
        <v>1243</v>
      </c>
    </row>
    <row r="254" spans="1:8" x14ac:dyDescent="0.2">
      <c r="A254" s="1" t="s">
        <v>1244</v>
      </c>
      <c r="B254" s="1" t="s">
        <v>1245</v>
      </c>
    </row>
    <row r="255" spans="1:8" x14ac:dyDescent="0.2">
      <c r="B255" s="1" t="s">
        <v>1246</v>
      </c>
    </row>
    <row r="256" spans="1:8" x14ac:dyDescent="0.2">
      <c r="B256" s="1" t="s">
        <v>1247</v>
      </c>
    </row>
    <row r="258" spans="1:10" x14ac:dyDescent="0.2">
      <c r="A258" s="1" t="s">
        <v>1248</v>
      </c>
      <c r="B258" s="1" t="s">
        <v>1249</v>
      </c>
    </row>
    <row r="259" spans="1:10" x14ac:dyDescent="0.2">
      <c r="B259" s="1" t="s">
        <v>1250</v>
      </c>
    </row>
    <row r="260" spans="1:10" x14ac:dyDescent="0.2">
      <c r="B260" s="1" t="s">
        <v>1251</v>
      </c>
    </row>
    <row r="261" spans="1:10" x14ac:dyDescent="0.2">
      <c r="B261" s="1" t="s">
        <v>1252</v>
      </c>
    </row>
    <row r="262" spans="1:10" x14ac:dyDescent="0.2">
      <c r="B262" s="1" t="s">
        <v>1253</v>
      </c>
    </row>
    <row r="264" spans="1:10" x14ac:dyDescent="0.2">
      <c r="A264" s="1" t="s">
        <v>1254</v>
      </c>
    </row>
    <row r="266" spans="1:10" x14ac:dyDescent="0.2">
      <c r="A266" s="1" t="s">
        <v>506</v>
      </c>
    </row>
    <row r="268" spans="1:10" x14ac:dyDescent="0.2">
      <c r="A268" s="195" t="s">
        <v>1239</v>
      </c>
      <c r="B268" s="195" t="s">
        <v>1240</v>
      </c>
      <c r="C268" s="195"/>
      <c r="D268" s="195"/>
      <c r="E268" s="195"/>
      <c r="F268" s="195"/>
      <c r="G268" s="195"/>
      <c r="H268" s="195"/>
      <c r="I268" s="196"/>
      <c r="J268" s="196"/>
    </row>
    <row r="269" spans="1:10" x14ac:dyDescent="0.2">
      <c r="A269" s="196"/>
      <c r="B269" s="195" t="s">
        <v>1241</v>
      </c>
      <c r="C269" s="195"/>
      <c r="D269" s="195"/>
      <c r="E269" s="195"/>
      <c r="F269" s="196"/>
      <c r="G269" s="196"/>
      <c r="H269" s="196"/>
      <c r="I269" s="196"/>
      <c r="J269" s="196"/>
    </row>
    <row r="270" spans="1:10" x14ac:dyDescent="0.2">
      <c r="A270" s="196"/>
      <c r="B270" s="195" t="s">
        <v>1242</v>
      </c>
      <c r="C270" s="195"/>
      <c r="D270" s="195"/>
      <c r="E270" s="196"/>
      <c r="F270" s="196"/>
      <c r="G270" s="196"/>
      <c r="H270" s="196"/>
      <c r="I270" s="196"/>
      <c r="J270" s="196"/>
    </row>
    <row r="271" spans="1:10" x14ac:dyDescent="0.2">
      <c r="A271" s="196"/>
      <c r="B271" s="195" t="s">
        <v>1243</v>
      </c>
      <c r="C271" s="195"/>
      <c r="D271" s="195"/>
      <c r="E271" s="196"/>
      <c r="F271" s="196"/>
      <c r="G271" s="196"/>
      <c r="H271" s="196"/>
      <c r="I271" s="196"/>
      <c r="J271" s="196"/>
    </row>
    <row r="272" spans="1:10" x14ac:dyDescent="0.2">
      <c r="A272" s="196"/>
      <c r="B272" s="196"/>
      <c r="C272" s="196"/>
      <c r="D272" s="196"/>
      <c r="E272" s="196"/>
      <c r="F272" s="196"/>
      <c r="G272" s="196"/>
      <c r="H272" s="196"/>
      <c r="I272" s="196"/>
      <c r="J272" s="196"/>
    </row>
    <row r="273" spans="1:10" x14ac:dyDescent="0.2">
      <c r="A273" s="196"/>
      <c r="B273" s="195" t="s">
        <v>1255</v>
      </c>
      <c r="C273" s="196"/>
      <c r="D273" s="196"/>
      <c r="E273" s="196"/>
      <c r="F273" s="196"/>
      <c r="G273" s="196"/>
      <c r="H273" s="196"/>
      <c r="I273" s="196"/>
      <c r="J273" s="196"/>
    </row>
    <row r="274" spans="1:10" x14ac:dyDescent="0.2">
      <c r="A274" s="196"/>
      <c r="B274" s="196"/>
      <c r="C274" s="196"/>
      <c r="D274" s="196"/>
      <c r="E274" s="196"/>
      <c r="F274" s="196" t="s">
        <v>225</v>
      </c>
      <c r="G274" s="196" t="s">
        <v>1226</v>
      </c>
      <c r="H274" s="196"/>
      <c r="I274" s="196"/>
      <c r="J274" s="196"/>
    </row>
    <row r="275" spans="1:10" x14ac:dyDescent="0.2">
      <c r="A275" s="196"/>
      <c r="B275" s="196"/>
      <c r="C275" s="196"/>
      <c r="D275" s="196"/>
      <c r="E275" s="196"/>
      <c r="F275" s="196">
        <v>2021</v>
      </c>
      <c r="G275" s="196">
        <f>60000-40000</f>
        <v>20000</v>
      </c>
      <c r="H275" s="196"/>
      <c r="I275" s="196"/>
      <c r="J275" s="196"/>
    </row>
    <row r="276" spans="1:10" x14ac:dyDescent="0.2">
      <c r="A276" s="196"/>
      <c r="B276" s="196"/>
      <c r="C276" s="196"/>
      <c r="D276" s="196"/>
      <c r="E276" s="196"/>
      <c r="F276" s="196">
        <v>2022</v>
      </c>
      <c r="G276" s="196">
        <f>G275</f>
        <v>20000</v>
      </c>
      <c r="H276" s="196"/>
      <c r="I276" s="196"/>
      <c r="J276" s="196"/>
    </row>
    <row r="277" spans="1:10" x14ac:dyDescent="0.2">
      <c r="A277" s="196"/>
      <c r="B277" s="196"/>
      <c r="C277" s="196"/>
      <c r="D277" s="196"/>
      <c r="E277" s="196"/>
      <c r="F277" s="196">
        <f>F276+1</f>
        <v>2023</v>
      </c>
      <c r="G277" s="196">
        <f>80000-40000</f>
        <v>40000</v>
      </c>
      <c r="H277" s="196"/>
      <c r="I277" s="196"/>
      <c r="J277" s="196"/>
    </row>
    <row r="278" spans="1:10" x14ac:dyDescent="0.2">
      <c r="A278" s="196"/>
      <c r="B278" s="196"/>
      <c r="C278" s="196"/>
      <c r="D278" s="196"/>
      <c r="E278" s="196"/>
      <c r="F278" s="196">
        <f t="shared" ref="F278:F284" si="4">F277+1</f>
        <v>2024</v>
      </c>
      <c r="G278" s="196">
        <f>G277</f>
        <v>40000</v>
      </c>
      <c r="H278" s="196"/>
      <c r="I278" s="196"/>
      <c r="J278" s="196"/>
    </row>
    <row r="279" spans="1:10" x14ac:dyDescent="0.2">
      <c r="A279" s="196"/>
      <c r="B279" s="196"/>
      <c r="C279" s="196"/>
      <c r="D279" s="196"/>
      <c r="E279" s="196"/>
      <c r="F279" s="196">
        <f t="shared" si="4"/>
        <v>2025</v>
      </c>
      <c r="G279" s="196">
        <f t="shared" ref="G279:G284" si="5">G278</f>
        <v>40000</v>
      </c>
      <c r="H279" s="196"/>
      <c r="I279" s="196"/>
      <c r="J279" s="196"/>
    </row>
    <row r="280" spans="1:10" x14ac:dyDescent="0.2">
      <c r="A280" s="196"/>
      <c r="B280" s="196"/>
      <c r="C280" s="197">
        <f>NPV(4%,G275:G284)</f>
        <v>286713.93768307677</v>
      </c>
      <c r="D280" s="196" t="s">
        <v>968</v>
      </c>
      <c r="E280" s="196"/>
      <c r="F280" s="196">
        <f t="shared" si="4"/>
        <v>2026</v>
      </c>
      <c r="G280" s="196">
        <f t="shared" si="5"/>
        <v>40000</v>
      </c>
      <c r="H280" s="196"/>
      <c r="I280" s="196"/>
      <c r="J280" s="196"/>
    </row>
    <row r="281" spans="1:10" x14ac:dyDescent="0.2">
      <c r="A281" s="196"/>
      <c r="B281" s="196"/>
      <c r="C281" s="196"/>
      <c r="D281" s="196"/>
      <c r="E281" s="196"/>
      <c r="F281" s="196">
        <f t="shared" si="4"/>
        <v>2027</v>
      </c>
      <c r="G281" s="196">
        <f t="shared" si="5"/>
        <v>40000</v>
      </c>
      <c r="H281" s="196"/>
      <c r="I281" s="196"/>
      <c r="J281" s="196"/>
    </row>
    <row r="282" spans="1:10" x14ac:dyDescent="0.2">
      <c r="A282" s="196"/>
      <c r="B282" s="196"/>
      <c r="C282" s="196"/>
      <c r="D282" s="196"/>
      <c r="E282" s="196"/>
      <c r="F282" s="196">
        <f t="shared" si="4"/>
        <v>2028</v>
      </c>
      <c r="G282" s="196">
        <f t="shared" si="5"/>
        <v>40000</v>
      </c>
      <c r="H282" s="196"/>
      <c r="I282" s="196"/>
      <c r="J282" s="196"/>
    </row>
    <row r="283" spans="1:10" x14ac:dyDescent="0.2">
      <c r="A283" s="196"/>
      <c r="B283" s="196"/>
      <c r="C283" s="196"/>
      <c r="D283" s="196"/>
      <c r="E283" s="196"/>
      <c r="F283" s="196">
        <f t="shared" si="4"/>
        <v>2029</v>
      </c>
      <c r="G283" s="196">
        <f t="shared" si="5"/>
        <v>40000</v>
      </c>
      <c r="H283" s="196"/>
      <c r="I283" s="196"/>
      <c r="J283" s="196"/>
    </row>
    <row r="284" spans="1:10" x14ac:dyDescent="0.2">
      <c r="A284" s="196"/>
      <c r="B284" s="196"/>
      <c r="C284" s="196"/>
      <c r="D284" s="196"/>
      <c r="E284" s="196"/>
      <c r="F284" s="196">
        <f t="shared" si="4"/>
        <v>2030</v>
      </c>
      <c r="G284" s="196">
        <f t="shared" si="5"/>
        <v>40000</v>
      </c>
      <c r="H284" s="196"/>
      <c r="I284" s="196"/>
      <c r="J284" s="196"/>
    </row>
    <row r="285" spans="1:10" x14ac:dyDescent="0.2">
      <c r="A285" s="196"/>
      <c r="B285" s="196"/>
      <c r="C285" s="196"/>
      <c r="D285" s="196"/>
      <c r="E285" s="196"/>
      <c r="F285" s="196"/>
      <c r="G285" s="196"/>
      <c r="H285" s="196"/>
      <c r="I285" s="196"/>
      <c r="J285" s="196"/>
    </row>
    <row r="286" spans="1:10" x14ac:dyDescent="0.2">
      <c r="A286" s="195" t="s">
        <v>1244</v>
      </c>
      <c r="B286" s="195" t="s">
        <v>1245</v>
      </c>
      <c r="C286" s="195"/>
      <c r="D286" s="195"/>
      <c r="E286" s="195"/>
      <c r="F286" s="196"/>
      <c r="G286" s="196"/>
      <c r="H286" s="196"/>
      <c r="I286" s="196"/>
      <c r="J286" s="196"/>
    </row>
    <row r="287" spans="1:10" x14ac:dyDescent="0.2">
      <c r="A287" s="196"/>
      <c r="B287" s="195" t="s">
        <v>1246</v>
      </c>
      <c r="C287" s="195"/>
      <c r="D287" s="195"/>
      <c r="E287" s="195"/>
      <c r="F287" s="196"/>
      <c r="G287" s="196"/>
      <c r="H287" s="196"/>
      <c r="I287" s="196"/>
      <c r="J287" s="196"/>
    </row>
    <row r="288" spans="1:10" x14ac:dyDescent="0.2">
      <c r="A288" s="196"/>
      <c r="B288" s="195" t="s">
        <v>1247</v>
      </c>
      <c r="C288" s="195"/>
      <c r="D288" s="195"/>
      <c r="E288" s="195"/>
      <c r="F288" s="195"/>
      <c r="G288" s="196"/>
      <c r="H288" s="196"/>
      <c r="I288" s="196"/>
      <c r="J288" s="196"/>
    </row>
    <row r="289" spans="1:10" x14ac:dyDescent="0.2">
      <c r="A289" s="196"/>
      <c r="B289" s="195"/>
      <c r="C289" s="195"/>
      <c r="D289" s="195"/>
      <c r="E289" s="195"/>
      <c r="F289" s="195"/>
      <c r="G289" s="196"/>
      <c r="H289" s="196"/>
      <c r="I289" s="196"/>
      <c r="J289" s="196"/>
    </row>
    <row r="290" spans="1:10" x14ac:dyDescent="0.2">
      <c r="A290" s="196"/>
      <c r="B290" s="195" t="s">
        <v>1256</v>
      </c>
      <c r="C290" s="195"/>
      <c r="D290" s="195"/>
      <c r="E290" s="195"/>
      <c r="F290" s="195"/>
      <c r="G290" s="196"/>
      <c r="H290" s="196"/>
      <c r="I290" s="196"/>
      <c r="J290" s="196"/>
    </row>
    <row r="291" spans="1:10" x14ac:dyDescent="0.2">
      <c r="A291" s="196"/>
      <c r="B291" s="195"/>
      <c r="C291" s="195"/>
      <c r="D291" s="195"/>
      <c r="E291" s="195"/>
      <c r="F291" s="195"/>
      <c r="G291" s="196"/>
      <c r="H291" s="196"/>
      <c r="I291" s="196"/>
      <c r="J291" s="196"/>
    </row>
    <row r="292" spans="1:10" x14ac:dyDescent="0.2">
      <c r="A292" s="196"/>
      <c r="B292" s="195" t="s">
        <v>1257</v>
      </c>
      <c r="C292" s="195"/>
      <c r="D292" s="195"/>
      <c r="E292" s="195"/>
      <c r="F292" s="198">
        <v>0.04</v>
      </c>
      <c r="G292" s="196" t="s">
        <v>113</v>
      </c>
      <c r="H292" s="196"/>
      <c r="I292" s="196"/>
      <c r="J292" s="196"/>
    </row>
    <row r="293" spans="1:10" x14ac:dyDescent="0.2">
      <c r="A293" s="196"/>
      <c r="B293" s="195" t="s">
        <v>1258</v>
      </c>
      <c r="C293" s="195"/>
      <c r="D293" s="195"/>
      <c r="E293" s="195"/>
      <c r="F293" s="195">
        <v>11</v>
      </c>
      <c r="G293" s="196" t="s">
        <v>114</v>
      </c>
      <c r="H293" s="196"/>
      <c r="I293" s="196"/>
      <c r="J293" s="196"/>
    </row>
    <row r="294" spans="1:10" x14ac:dyDescent="0.2">
      <c r="A294" s="196"/>
      <c r="B294" s="195" t="s">
        <v>1259</v>
      </c>
      <c r="C294" s="195"/>
      <c r="D294" s="195"/>
      <c r="E294" s="195"/>
      <c r="F294" s="195">
        <v>30000</v>
      </c>
      <c r="G294" s="196" t="s">
        <v>115</v>
      </c>
      <c r="H294" s="196"/>
      <c r="I294" s="196"/>
      <c r="J294" s="196"/>
    </row>
    <row r="295" spans="1:10" x14ac:dyDescent="0.2">
      <c r="A295" s="196"/>
      <c r="B295" s="195" t="s">
        <v>1260</v>
      </c>
      <c r="C295" s="195"/>
      <c r="D295" s="195"/>
      <c r="E295" s="195"/>
      <c r="F295" s="199">
        <v>15000</v>
      </c>
      <c r="G295" s="196" t="s">
        <v>117</v>
      </c>
      <c r="H295" s="196"/>
      <c r="I295" s="196"/>
      <c r="J295" s="196"/>
    </row>
    <row r="296" spans="1:10" x14ac:dyDescent="0.2">
      <c r="A296" s="196"/>
      <c r="B296" s="195"/>
      <c r="C296" s="195"/>
      <c r="D296" s="195"/>
      <c r="E296" s="195"/>
      <c r="F296" s="200">
        <f>PV(F292,F293,F294,F295)</f>
        <v>-272558.01530099811</v>
      </c>
      <c r="G296" s="196" t="s">
        <v>116</v>
      </c>
      <c r="H296" s="196"/>
      <c r="I296" s="196"/>
      <c r="J296" s="196"/>
    </row>
    <row r="297" spans="1:10" x14ac:dyDescent="0.2">
      <c r="A297" s="196"/>
      <c r="B297" s="195" t="s">
        <v>1261</v>
      </c>
      <c r="C297" s="195"/>
      <c r="D297" s="201">
        <f>-F296</f>
        <v>272558.01530099811</v>
      </c>
      <c r="E297" s="195"/>
      <c r="F297" s="195"/>
      <c r="G297" s="196"/>
      <c r="H297" s="196"/>
      <c r="I297" s="196"/>
      <c r="J297" s="196"/>
    </row>
    <row r="298" spans="1:10" x14ac:dyDescent="0.2">
      <c r="A298" s="196"/>
      <c r="B298" s="195"/>
      <c r="C298" s="195"/>
      <c r="D298" s="195"/>
      <c r="E298" s="195"/>
      <c r="F298" s="195"/>
      <c r="G298" s="196"/>
      <c r="H298" s="196"/>
      <c r="I298" s="196"/>
      <c r="J298" s="196"/>
    </row>
    <row r="299" spans="1:10" x14ac:dyDescent="0.2">
      <c r="A299" s="195" t="s">
        <v>1248</v>
      </c>
      <c r="B299" s="195" t="s">
        <v>1249</v>
      </c>
      <c r="C299" s="195"/>
      <c r="D299" s="195"/>
      <c r="E299" s="195"/>
      <c r="F299" s="195"/>
      <c r="G299" s="195"/>
      <c r="H299" s="196"/>
      <c r="I299" s="196"/>
      <c r="J299" s="196"/>
    </row>
    <row r="300" spans="1:10" x14ac:dyDescent="0.2">
      <c r="A300" s="196"/>
      <c r="B300" s="195" t="s">
        <v>1250</v>
      </c>
      <c r="C300" s="195"/>
      <c r="D300" s="196"/>
      <c r="E300" s="196"/>
      <c r="F300" s="196"/>
      <c r="G300" s="196"/>
      <c r="H300" s="196"/>
      <c r="I300" s="196"/>
      <c r="J300" s="196"/>
    </row>
    <row r="301" spans="1:10" x14ac:dyDescent="0.2">
      <c r="A301" s="196"/>
      <c r="B301" s="195" t="s">
        <v>1251</v>
      </c>
      <c r="C301" s="195"/>
      <c r="D301" s="195"/>
      <c r="E301" s="195"/>
      <c r="F301" s="195"/>
      <c r="G301" s="195"/>
      <c r="H301" s="196"/>
      <c r="I301" s="196"/>
      <c r="J301" s="196"/>
    </row>
    <row r="302" spans="1:10" x14ac:dyDescent="0.2">
      <c r="A302" s="196"/>
      <c r="B302" s="195" t="s">
        <v>1252</v>
      </c>
      <c r="C302" s="195"/>
      <c r="D302" s="195"/>
      <c r="E302" s="196"/>
      <c r="F302" s="196"/>
      <c r="G302" s="196"/>
      <c r="H302" s="196"/>
      <c r="I302" s="196"/>
      <c r="J302" s="196"/>
    </row>
    <row r="303" spans="1:10" x14ac:dyDescent="0.2">
      <c r="A303" s="196"/>
      <c r="B303" s="195" t="s">
        <v>1253</v>
      </c>
      <c r="C303" s="195"/>
      <c r="D303" s="195"/>
      <c r="E303" s="195"/>
      <c r="F303" s="196"/>
      <c r="G303" s="196"/>
      <c r="H303" s="196"/>
      <c r="I303" s="196"/>
      <c r="J303" s="196"/>
    </row>
    <row r="304" spans="1:10" x14ac:dyDescent="0.2">
      <c r="A304" s="196"/>
      <c r="B304" s="196"/>
      <c r="C304" s="196"/>
      <c r="D304" s="196"/>
      <c r="E304" s="196"/>
      <c r="F304" s="196"/>
      <c r="G304" s="196"/>
      <c r="H304" s="196"/>
      <c r="I304" s="196" t="s">
        <v>1226</v>
      </c>
      <c r="J304" s="196"/>
    </row>
    <row r="305" spans="1:10" x14ac:dyDescent="0.2">
      <c r="A305" s="195"/>
      <c r="B305" s="195"/>
      <c r="C305" s="195"/>
      <c r="D305" s="195"/>
      <c r="E305" s="195"/>
      <c r="F305" s="196" t="s">
        <v>225</v>
      </c>
      <c r="G305" s="196" t="s">
        <v>1024</v>
      </c>
      <c r="H305" s="195" t="s">
        <v>1202</v>
      </c>
      <c r="I305" s="196" t="s">
        <v>1262</v>
      </c>
      <c r="J305" s="196"/>
    </row>
    <row r="306" spans="1:10" x14ac:dyDescent="0.2">
      <c r="F306" s="196">
        <v>2023</v>
      </c>
      <c r="G306" s="200">
        <v>60000</v>
      </c>
      <c r="H306" s="73">
        <v>40000</v>
      </c>
      <c r="I306" s="73">
        <f>G306-H306</f>
        <v>20000</v>
      </c>
    </row>
    <row r="307" spans="1:10" x14ac:dyDescent="0.2">
      <c r="F307" s="196">
        <f t="shared" ref="F307:F310" si="6">F306+1</f>
        <v>2024</v>
      </c>
      <c r="G307" s="200">
        <f>G306*(1-10%)</f>
        <v>54000</v>
      </c>
      <c r="H307" s="73">
        <f>H306*(1+1%)</f>
        <v>40400</v>
      </c>
      <c r="I307" s="73">
        <f t="shared" ref="I307:I310" si="7">G307-H307</f>
        <v>13600</v>
      </c>
    </row>
    <row r="308" spans="1:10" x14ac:dyDescent="0.2">
      <c r="F308" s="196">
        <f t="shared" si="6"/>
        <v>2025</v>
      </c>
      <c r="G308" s="200">
        <f t="shared" ref="G308:G310" si="8">G307*(1-10%)</f>
        <v>48600</v>
      </c>
      <c r="H308" s="73">
        <f t="shared" ref="H308:H310" si="9">H307*(1+1%)</f>
        <v>40804</v>
      </c>
      <c r="I308" s="73">
        <f t="shared" si="7"/>
        <v>7796</v>
      </c>
    </row>
    <row r="309" spans="1:10" x14ac:dyDescent="0.2">
      <c r="F309" s="196">
        <f t="shared" si="6"/>
        <v>2026</v>
      </c>
      <c r="G309" s="200">
        <f t="shared" si="8"/>
        <v>43740</v>
      </c>
      <c r="H309" s="73">
        <f t="shared" si="9"/>
        <v>41212.04</v>
      </c>
      <c r="I309" s="73">
        <f t="shared" si="7"/>
        <v>2527.9599999999991</v>
      </c>
    </row>
    <row r="310" spans="1:10" x14ac:dyDescent="0.2">
      <c r="F310" s="196">
        <f t="shared" si="6"/>
        <v>2027</v>
      </c>
      <c r="G310" s="200">
        <f t="shared" si="8"/>
        <v>39366</v>
      </c>
      <c r="H310" s="73">
        <f t="shared" si="9"/>
        <v>41624.160400000001</v>
      </c>
      <c r="I310" s="73">
        <f t="shared" si="7"/>
        <v>-2258.1604000000007</v>
      </c>
    </row>
    <row r="312" spans="1:10" x14ac:dyDescent="0.2">
      <c r="I312" s="201">
        <f>NPV(4%,I306:I310)</f>
        <v>39040.216898594066</v>
      </c>
      <c r="J312" s="1" t="s">
        <v>968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0B595-A22F-B242-B8A8-92D7EE285EB6}">
  <dimension ref="A1:K181"/>
  <sheetViews>
    <sheetView rightToLeft="1" topLeftCell="A107" zoomScale="230" zoomScaleNormal="230" workbookViewId="0">
      <selection activeCell="A116" sqref="A116:A117"/>
    </sheetView>
  </sheetViews>
  <sheetFormatPr baseColWidth="10" defaultRowHeight="16" x14ac:dyDescent="0.2"/>
  <cols>
    <col min="1" max="1" width="17.33203125" style="1" customWidth="1"/>
    <col min="2" max="2" width="12" style="1" customWidth="1"/>
    <col min="3" max="16384" width="10.83203125" style="1"/>
  </cols>
  <sheetData>
    <row r="1" spans="1:8" x14ac:dyDescent="0.2">
      <c r="A1" s="3" t="s">
        <v>1394</v>
      </c>
      <c r="B1" s="41"/>
      <c r="C1" s="41"/>
      <c r="D1" s="41"/>
      <c r="E1" s="41"/>
      <c r="F1" s="41"/>
      <c r="G1" s="41"/>
      <c r="H1" s="41"/>
    </row>
    <row r="3" spans="1:8" x14ac:dyDescent="0.2">
      <c r="A3" s="205" t="s">
        <v>1296</v>
      </c>
      <c r="B3" s="205"/>
      <c r="C3" s="205"/>
      <c r="D3" s="205"/>
      <c r="E3" s="205"/>
      <c r="F3" s="205"/>
      <c r="G3" s="205"/>
      <c r="H3" s="205"/>
    </row>
    <row r="4" spans="1:8" x14ac:dyDescent="0.2">
      <c r="A4" s="1" t="s">
        <v>1297</v>
      </c>
    </row>
    <row r="5" spans="1:8" x14ac:dyDescent="0.2">
      <c r="A5" s="1" t="s">
        <v>1298</v>
      </c>
    </row>
    <row r="6" spans="1:8" x14ac:dyDescent="0.2">
      <c r="A6" s="1" t="s">
        <v>1299</v>
      </c>
    </row>
    <row r="8" spans="1:8" x14ac:dyDescent="0.2">
      <c r="A8" s="1" t="s">
        <v>1300</v>
      </c>
    </row>
    <row r="10" spans="1:8" x14ac:dyDescent="0.2">
      <c r="A10" s="1" t="s">
        <v>1301</v>
      </c>
    </row>
    <row r="12" spans="1:8" x14ac:dyDescent="0.2">
      <c r="A12" s="205" t="s">
        <v>1302</v>
      </c>
      <c r="B12" s="94"/>
      <c r="C12" s="94"/>
      <c r="D12" s="94"/>
      <c r="E12" s="94"/>
      <c r="F12" s="94"/>
      <c r="G12" s="94"/>
      <c r="H12" s="94"/>
    </row>
    <row r="14" spans="1:8" x14ac:dyDescent="0.2">
      <c r="A14" s="1" t="s">
        <v>1303</v>
      </c>
    </row>
    <row r="15" spans="1:8" x14ac:dyDescent="0.2">
      <c r="A15" s="1" t="s">
        <v>1304</v>
      </c>
    </row>
    <row r="16" spans="1:8" x14ac:dyDescent="0.2">
      <c r="A16" s="1" t="s">
        <v>1305</v>
      </c>
    </row>
    <row r="17" spans="1:6" x14ac:dyDescent="0.2">
      <c r="A17" s="1" t="s">
        <v>1306</v>
      </c>
    </row>
    <row r="18" spans="1:6" x14ac:dyDescent="0.2">
      <c r="A18" s="1" t="s">
        <v>1307</v>
      </c>
    </row>
    <row r="20" spans="1:6" x14ac:dyDescent="0.2">
      <c r="A20" s="1" t="s">
        <v>1308</v>
      </c>
    </row>
    <row r="21" spans="1:6" x14ac:dyDescent="0.2">
      <c r="C21" s="40">
        <v>1</v>
      </c>
      <c r="D21" s="40">
        <v>2</v>
      </c>
    </row>
    <row r="22" spans="1:6" x14ac:dyDescent="0.2">
      <c r="B22" s="1" t="s">
        <v>1024</v>
      </c>
      <c r="C22" s="21">
        <v>500000</v>
      </c>
      <c r="D22" s="21">
        <f>C22</f>
        <v>500000</v>
      </c>
    </row>
    <row r="23" spans="1:6" x14ac:dyDescent="0.2">
      <c r="B23" s="1" t="s">
        <v>1309</v>
      </c>
      <c r="C23" s="21">
        <f>400000/4</f>
        <v>100000</v>
      </c>
      <c r="D23" s="21">
        <f>C23</f>
        <v>100000</v>
      </c>
    </row>
    <row r="24" spans="1:6" x14ac:dyDescent="0.2">
      <c r="B24" s="1" t="s">
        <v>1310</v>
      </c>
      <c r="C24" s="22">
        <f>C22-C23</f>
        <v>400000</v>
      </c>
      <c r="D24" s="22">
        <f>D22-D23</f>
        <v>400000</v>
      </c>
    </row>
    <row r="26" spans="1:6" x14ac:dyDescent="0.2">
      <c r="A26" s="1" t="s">
        <v>1311</v>
      </c>
    </row>
    <row r="27" spans="1:6" x14ac:dyDescent="0.2">
      <c r="C27" s="19">
        <v>1</v>
      </c>
      <c r="D27" s="19">
        <v>2</v>
      </c>
      <c r="F27" s="1" t="s">
        <v>1312</v>
      </c>
    </row>
    <row r="28" spans="1:6" x14ac:dyDescent="0.2">
      <c r="A28" s="1" t="s">
        <v>1313</v>
      </c>
      <c r="C28" s="21">
        <f>C24</f>
        <v>400000</v>
      </c>
      <c r="D28" s="21">
        <f>D24</f>
        <v>400000</v>
      </c>
      <c r="F28" s="1" t="s">
        <v>1314</v>
      </c>
    </row>
    <row r="29" spans="1:6" x14ac:dyDescent="0.2">
      <c r="A29" s="1" t="s">
        <v>1315</v>
      </c>
      <c r="C29" s="21">
        <v>60000</v>
      </c>
      <c r="D29" s="21">
        <v>60000</v>
      </c>
      <c r="F29" s="1" t="s">
        <v>1316</v>
      </c>
    </row>
    <row r="30" spans="1:6" x14ac:dyDescent="0.2">
      <c r="A30" s="1" t="s">
        <v>1317</v>
      </c>
      <c r="C30" s="21">
        <f>C28+C29</f>
        <v>460000</v>
      </c>
      <c r="D30" s="21">
        <f>D28+D29</f>
        <v>460000</v>
      </c>
      <c r="F30" s="1" t="s">
        <v>1318</v>
      </c>
    </row>
    <row r="31" spans="1:6" x14ac:dyDescent="0.2">
      <c r="A31" s="1" t="s">
        <v>1319</v>
      </c>
      <c r="C31" s="183">
        <v>0.3</v>
      </c>
      <c r="D31" s="183">
        <v>0.3</v>
      </c>
    </row>
    <row r="32" spans="1:6" x14ac:dyDescent="0.2">
      <c r="A32" s="1" t="s">
        <v>1320</v>
      </c>
      <c r="C32" s="21">
        <f>C30*C31</f>
        <v>138000</v>
      </c>
      <c r="D32" s="21">
        <f>D30*D31</f>
        <v>138000</v>
      </c>
    </row>
    <row r="34" spans="1:10" x14ac:dyDescent="0.2">
      <c r="A34" s="1" t="s">
        <v>1321</v>
      </c>
    </row>
    <row r="36" spans="1:10" x14ac:dyDescent="0.2">
      <c r="C36" s="1" t="s">
        <v>1322</v>
      </c>
      <c r="G36" s="1" t="s">
        <v>1323</v>
      </c>
    </row>
    <row r="38" spans="1:10" x14ac:dyDescent="0.2">
      <c r="C38" s="19">
        <v>1</v>
      </c>
      <c r="D38" s="19">
        <v>2</v>
      </c>
      <c r="E38" s="19">
        <v>3</v>
      </c>
      <c r="F38" s="19">
        <v>4</v>
      </c>
      <c r="G38" s="19">
        <v>5</v>
      </c>
      <c r="H38" s="19" t="s">
        <v>1324</v>
      </c>
      <c r="I38" s="19">
        <v>9</v>
      </c>
      <c r="J38" s="19">
        <v>10</v>
      </c>
    </row>
    <row r="39" spans="1:10" x14ac:dyDescent="0.2">
      <c r="A39" s="1" t="s">
        <v>1313</v>
      </c>
      <c r="C39" s="21">
        <f>C28</f>
        <v>400000</v>
      </c>
      <c r="D39" s="21">
        <f>D28</f>
        <v>400000</v>
      </c>
      <c r="E39" s="21">
        <f>D39</f>
        <v>400000</v>
      </c>
      <c r="F39" s="21">
        <f>E39</f>
        <v>400000</v>
      </c>
      <c r="G39" s="21">
        <f>C22</f>
        <v>500000</v>
      </c>
      <c r="H39" s="21">
        <f>D22</f>
        <v>500000</v>
      </c>
      <c r="I39" s="21">
        <f>H39</f>
        <v>500000</v>
      </c>
      <c r="J39" s="21">
        <f>I39</f>
        <v>500000</v>
      </c>
    </row>
    <row r="40" spans="1:10" x14ac:dyDescent="0.2">
      <c r="A40" s="1" t="s">
        <v>1325</v>
      </c>
      <c r="C40" s="21">
        <v>60000</v>
      </c>
      <c r="D40" s="21">
        <v>60000</v>
      </c>
      <c r="E40" s="21">
        <v>60000</v>
      </c>
      <c r="F40" s="21">
        <v>60000</v>
      </c>
      <c r="G40" s="21">
        <v>-40000</v>
      </c>
      <c r="H40" s="21">
        <v>-40000</v>
      </c>
      <c r="I40" s="21">
        <v>-40000</v>
      </c>
      <c r="J40" s="21">
        <v>-40000</v>
      </c>
    </row>
    <row r="41" spans="1:10" x14ac:dyDescent="0.2">
      <c r="A41" s="1" t="s">
        <v>1317</v>
      </c>
      <c r="C41" s="21">
        <f>C39+C40</f>
        <v>460000</v>
      </c>
      <c r="D41" s="21">
        <f>D39+D40</f>
        <v>460000</v>
      </c>
      <c r="E41" s="21">
        <f t="shared" ref="E41:F41" si="0">E39+E40</f>
        <v>460000</v>
      </c>
      <c r="F41" s="21">
        <f t="shared" si="0"/>
        <v>460000</v>
      </c>
      <c r="G41" s="21">
        <f>G39+G40</f>
        <v>460000</v>
      </c>
      <c r="H41" s="21">
        <f>H39+H40</f>
        <v>460000</v>
      </c>
      <c r="I41" s="21">
        <f>I39+I40</f>
        <v>460000</v>
      </c>
      <c r="J41" s="21">
        <f>J39+J40</f>
        <v>460000</v>
      </c>
    </row>
    <row r="42" spans="1:10" x14ac:dyDescent="0.2">
      <c r="A42" s="1" t="s">
        <v>1319</v>
      </c>
      <c r="C42" s="183">
        <v>0.3</v>
      </c>
      <c r="D42" s="183">
        <v>0.3</v>
      </c>
      <c r="E42" s="183">
        <v>0.3</v>
      </c>
      <c r="F42" s="183">
        <v>0.3</v>
      </c>
      <c r="G42" s="183">
        <v>0.3</v>
      </c>
      <c r="H42" s="183">
        <v>0.3</v>
      </c>
      <c r="I42" s="183">
        <v>0.3</v>
      </c>
      <c r="J42" s="183">
        <v>0.3</v>
      </c>
    </row>
    <row r="43" spans="1:10" x14ac:dyDescent="0.2">
      <c r="A43" s="1" t="s">
        <v>1320</v>
      </c>
      <c r="C43" s="21">
        <f>C41*C42</f>
        <v>138000</v>
      </c>
      <c r="D43" s="21">
        <f>D41*D42</f>
        <v>138000</v>
      </c>
      <c r="E43" s="21">
        <f t="shared" ref="E43:F43" si="1">E41*E42</f>
        <v>138000</v>
      </c>
      <c r="F43" s="21">
        <f t="shared" si="1"/>
        <v>138000</v>
      </c>
      <c r="G43" s="21">
        <f>G41*G42</f>
        <v>138000</v>
      </c>
      <c r="H43" s="21">
        <f>H41*H42</f>
        <v>138000</v>
      </c>
      <c r="I43" s="21">
        <f>I41*I42</f>
        <v>138000</v>
      </c>
      <c r="J43" s="21">
        <f>J41*J42</f>
        <v>138000</v>
      </c>
    </row>
    <row r="45" spans="1:10" x14ac:dyDescent="0.2">
      <c r="A45" s="1" t="s">
        <v>1395</v>
      </c>
    </row>
    <row r="46" spans="1:10" x14ac:dyDescent="0.2">
      <c r="A46" s="1">
        <f>138*4-120*4</f>
        <v>72</v>
      </c>
      <c r="C46" s="1" t="s">
        <v>1326</v>
      </c>
      <c r="G46" s="1" t="s">
        <v>1327</v>
      </c>
    </row>
    <row r="47" spans="1:10" x14ac:dyDescent="0.2">
      <c r="C47" s="1" t="s">
        <v>1328</v>
      </c>
      <c r="G47" s="1" t="s">
        <v>1328</v>
      </c>
    </row>
    <row r="48" spans="1:10" x14ac:dyDescent="0.2">
      <c r="A48" s="1" t="s">
        <v>1396</v>
      </c>
      <c r="C48" s="1" t="s">
        <v>1329</v>
      </c>
      <c r="G48" s="1" t="s">
        <v>1330</v>
      </c>
    </row>
    <row r="49" spans="1:8" x14ac:dyDescent="0.2">
      <c r="A49" s="1">
        <f>150*6-138*6</f>
        <v>72</v>
      </c>
    </row>
    <row r="51" spans="1:8" x14ac:dyDescent="0.2">
      <c r="A51" s="1" t="s">
        <v>1331</v>
      </c>
    </row>
    <row r="52" spans="1:8" x14ac:dyDescent="0.2">
      <c r="A52" s="1" t="s">
        <v>1332</v>
      </c>
    </row>
    <row r="54" spans="1:8" x14ac:dyDescent="0.2">
      <c r="A54" s="1" t="s">
        <v>1333</v>
      </c>
    </row>
    <row r="56" spans="1:8" x14ac:dyDescent="0.2">
      <c r="A56" s="1" t="s">
        <v>1334</v>
      </c>
    </row>
    <row r="57" spans="1:8" x14ac:dyDescent="0.2">
      <c r="A57" s="1" t="s">
        <v>1335</v>
      </c>
    </row>
    <row r="59" spans="1:8" x14ac:dyDescent="0.2">
      <c r="A59" s="205" t="s">
        <v>1336</v>
      </c>
      <c r="B59" s="94"/>
      <c r="C59" s="94"/>
      <c r="D59" s="94"/>
      <c r="E59" s="94"/>
      <c r="F59" s="94"/>
      <c r="G59" s="94"/>
      <c r="H59" s="94"/>
    </row>
    <row r="61" spans="1:8" x14ac:dyDescent="0.2">
      <c r="A61" s="1" t="s">
        <v>1397</v>
      </c>
    </row>
    <row r="62" spans="1:8" x14ac:dyDescent="0.2">
      <c r="A62" s="1" t="s">
        <v>1337</v>
      </c>
    </row>
    <row r="64" spans="1:8" x14ac:dyDescent="0.2">
      <c r="A64" s="1" t="s">
        <v>1338</v>
      </c>
    </row>
    <row r="65" spans="1:11" x14ac:dyDescent="0.2">
      <c r="A65" s="1" t="s">
        <v>1398</v>
      </c>
    </row>
    <row r="66" spans="1:11" x14ac:dyDescent="0.2">
      <c r="B66" s="40">
        <v>1</v>
      </c>
      <c r="C66" s="40">
        <v>2</v>
      </c>
      <c r="D66" s="40">
        <v>3</v>
      </c>
      <c r="E66" s="40">
        <v>4</v>
      </c>
      <c r="F66" s="40">
        <v>5</v>
      </c>
      <c r="G66" s="40">
        <v>6</v>
      </c>
      <c r="H66" s="40">
        <v>7</v>
      </c>
      <c r="I66" s="40">
        <v>8</v>
      </c>
      <c r="J66" s="40">
        <v>9</v>
      </c>
      <c r="K66" s="40">
        <v>10</v>
      </c>
    </row>
    <row r="67" spans="1:11" x14ac:dyDescent="0.2">
      <c r="A67" s="1" t="s">
        <v>99</v>
      </c>
      <c r="B67" s="21">
        <f>400*(4-B66)/4</f>
        <v>300</v>
      </c>
      <c r="C67" s="21">
        <f t="shared" ref="C67:E67" si="2">400*(4-C66)/4</f>
        <v>200</v>
      </c>
      <c r="D67" s="21">
        <f t="shared" si="2"/>
        <v>100</v>
      </c>
      <c r="E67" s="21">
        <f t="shared" si="2"/>
        <v>0</v>
      </c>
      <c r="F67" s="21">
        <f>E67</f>
        <v>0</v>
      </c>
      <c r="G67" s="21">
        <f>F67</f>
        <v>0</v>
      </c>
      <c r="H67" s="21">
        <v>0</v>
      </c>
      <c r="I67" s="21">
        <v>0</v>
      </c>
      <c r="J67" s="21">
        <v>0</v>
      </c>
      <c r="K67" s="21">
        <v>0</v>
      </c>
    </row>
    <row r="68" spans="1:11" x14ac:dyDescent="0.2">
      <c r="A68" s="1" t="s">
        <v>1054</v>
      </c>
      <c r="B68" s="21">
        <f>400*(10-B66)/10</f>
        <v>360</v>
      </c>
      <c r="C68" s="21">
        <f t="shared" ref="C68:F68" si="3">400*(10-C66)/10</f>
        <v>320</v>
      </c>
      <c r="D68" s="21">
        <f t="shared" si="3"/>
        <v>280</v>
      </c>
      <c r="E68" s="21">
        <f t="shared" si="3"/>
        <v>240</v>
      </c>
      <c r="F68" s="21">
        <f t="shared" si="3"/>
        <v>200</v>
      </c>
      <c r="G68" s="21">
        <f t="shared" ref="G68:K68" si="4">400*(10-G66)/10</f>
        <v>160</v>
      </c>
      <c r="H68" s="21">
        <f t="shared" si="4"/>
        <v>120</v>
      </c>
      <c r="I68" s="21">
        <f t="shared" si="4"/>
        <v>80</v>
      </c>
      <c r="J68" s="21">
        <f t="shared" si="4"/>
        <v>40</v>
      </c>
      <c r="K68" s="21">
        <f t="shared" si="4"/>
        <v>0</v>
      </c>
    </row>
    <row r="69" spans="1:11" x14ac:dyDescent="0.2">
      <c r="A69" s="1" t="s">
        <v>1339</v>
      </c>
      <c r="B69" s="21">
        <f>B67-B68</f>
        <v>-60</v>
      </c>
      <c r="C69" s="21">
        <f t="shared" ref="C69:H69" si="5">C67-C68</f>
        <v>-120</v>
      </c>
      <c r="D69" s="21">
        <f t="shared" si="5"/>
        <v>-180</v>
      </c>
      <c r="E69" s="21">
        <f t="shared" si="5"/>
        <v>-240</v>
      </c>
      <c r="F69" s="21">
        <f t="shared" si="5"/>
        <v>-200</v>
      </c>
      <c r="G69" s="21">
        <f t="shared" si="5"/>
        <v>-160</v>
      </c>
      <c r="H69" s="21">
        <f t="shared" si="5"/>
        <v>-120</v>
      </c>
      <c r="I69" s="21">
        <f t="shared" ref="I69" si="6">I67-I68</f>
        <v>-80</v>
      </c>
      <c r="J69" s="21">
        <f t="shared" ref="J69" si="7">J67-J68</f>
        <v>-40</v>
      </c>
      <c r="K69" s="21">
        <f t="shared" ref="K69" si="8">K67-K68</f>
        <v>0</v>
      </c>
    </row>
    <row r="70" spans="1:11" x14ac:dyDescent="0.2">
      <c r="A70" s="1" t="s">
        <v>1056</v>
      </c>
      <c r="B70" s="183">
        <v>0.3</v>
      </c>
      <c r="C70" s="183">
        <f>B70</f>
        <v>0.3</v>
      </c>
      <c r="D70" s="183">
        <f t="shared" ref="D70:F70" si="9">C70</f>
        <v>0.3</v>
      </c>
      <c r="E70" s="183">
        <f t="shared" si="9"/>
        <v>0.3</v>
      </c>
      <c r="F70" s="183">
        <f t="shared" si="9"/>
        <v>0.3</v>
      </c>
      <c r="G70" s="183">
        <f t="shared" ref="G70:H70" si="10">F70</f>
        <v>0.3</v>
      </c>
      <c r="H70" s="183">
        <f t="shared" si="10"/>
        <v>0.3</v>
      </c>
      <c r="I70" s="183">
        <f t="shared" ref="I70:K70" si="11">H70</f>
        <v>0.3</v>
      </c>
      <c r="J70" s="183">
        <f t="shared" si="11"/>
        <v>0.3</v>
      </c>
      <c r="K70" s="183">
        <f t="shared" si="11"/>
        <v>0.3</v>
      </c>
    </row>
    <row r="71" spans="1:11" x14ac:dyDescent="0.2">
      <c r="A71" s="1" t="s">
        <v>1340</v>
      </c>
      <c r="B71" s="22">
        <f>B69*-B70</f>
        <v>18</v>
      </c>
      <c r="C71" s="22">
        <f t="shared" ref="C71:H71" si="12">C69*-C70</f>
        <v>36</v>
      </c>
      <c r="D71" s="22">
        <f t="shared" si="12"/>
        <v>54</v>
      </c>
      <c r="E71" s="22">
        <f t="shared" si="12"/>
        <v>72</v>
      </c>
      <c r="F71" s="22">
        <f t="shared" si="12"/>
        <v>60</v>
      </c>
      <c r="G71" s="22">
        <f t="shared" si="12"/>
        <v>48</v>
      </c>
      <c r="H71" s="22">
        <f t="shared" si="12"/>
        <v>36</v>
      </c>
      <c r="I71" s="22">
        <f t="shared" ref="I71" si="13">I69*-I70</f>
        <v>24</v>
      </c>
      <c r="J71" s="22">
        <f t="shared" ref="J71" si="14">J69*-J70</f>
        <v>12</v>
      </c>
      <c r="K71" s="22">
        <f t="shared" ref="K71" si="15">K69*-K70</f>
        <v>0</v>
      </c>
    </row>
    <row r="73" spans="1:11" x14ac:dyDescent="0.2">
      <c r="A73" s="1" t="s">
        <v>1341</v>
      </c>
    </row>
    <row r="74" spans="1:11" x14ac:dyDescent="0.2">
      <c r="A74" s="2" t="s">
        <v>1342</v>
      </c>
    </row>
    <row r="75" spans="1:11" x14ac:dyDescent="0.2">
      <c r="A75" s="2" t="s">
        <v>1343</v>
      </c>
    </row>
    <row r="76" spans="1:11" x14ac:dyDescent="0.2">
      <c r="A76" s="2" t="s">
        <v>1344</v>
      </c>
    </row>
    <row r="77" spans="1:11" ht="17" thickBot="1" x14ac:dyDescent="0.25"/>
    <row r="78" spans="1:11" ht="17" thickBot="1" x14ac:dyDescent="0.25">
      <c r="A78" s="16" t="s">
        <v>1345</v>
      </c>
      <c r="B78" s="17"/>
      <c r="C78" s="17"/>
      <c r="D78" s="17"/>
      <c r="E78" s="17"/>
      <c r="F78" s="17"/>
      <c r="G78" s="17"/>
      <c r="H78" s="18"/>
    </row>
    <row r="80" spans="1:11" x14ac:dyDescent="0.2">
      <c r="A80" s="1" t="s">
        <v>1346</v>
      </c>
    </row>
    <row r="81" spans="1:1" x14ac:dyDescent="0.2">
      <c r="A81" s="1" t="s">
        <v>1347</v>
      </c>
    </row>
    <row r="82" spans="1:1" x14ac:dyDescent="0.2">
      <c r="A82" s="1" t="s">
        <v>1348</v>
      </c>
    </row>
    <row r="83" spans="1:1" x14ac:dyDescent="0.2">
      <c r="A83" s="1" t="s">
        <v>1349</v>
      </c>
    </row>
    <row r="85" spans="1:1" x14ac:dyDescent="0.2">
      <c r="A85" s="1" t="s">
        <v>1350</v>
      </c>
    </row>
    <row r="86" spans="1:1" x14ac:dyDescent="0.2">
      <c r="A86" s="1" t="s">
        <v>1351</v>
      </c>
    </row>
    <row r="87" spans="1:1" x14ac:dyDescent="0.2">
      <c r="A87" s="1" t="s">
        <v>1352</v>
      </c>
    </row>
    <row r="89" spans="1:1" x14ac:dyDescent="0.2">
      <c r="A89" s="1" t="s">
        <v>1353</v>
      </c>
    </row>
    <row r="90" spans="1:1" x14ac:dyDescent="0.2">
      <c r="A90" s="1" t="s">
        <v>1354</v>
      </c>
    </row>
    <row r="91" spans="1:1" x14ac:dyDescent="0.2">
      <c r="A91" s="1" t="s">
        <v>1355</v>
      </c>
    </row>
    <row r="93" spans="1:1" x14ac:dyDescent="0.2">
      <c r="A93" s="1" t="s">
        <v>1356</v>
      </c>
    </row>
    <row r="95" spans="1:1" x14ac:dyDescent="0.2">
      <c r="A95" s="1" t="s">
        <v>1357</v>
      </c>
    </row>
    <row r="97" spans="1:9" x14ac:dyDescent="0.2">
      <c r="A97" s="1" t="s">
        <v>1358</v>
      </c>
    </row>
    <row r="98" spans="1:9" x14ac:dyDescent="0.2">
      <c r="A98" s="1" t="s">
        <v>1359</v>
      </c>
    </row>
    <row r="100" spans="1:9" x14ac:dyDescent="0.2">
      <c r="B100" s="41"/>
      <c r="C100" s="19" t="s">
        <v>893</v>
      </c>
      <c r="D100" s="69" t="s">
        <v>1360</v>
      </c>
      <c r="E100" s="19" t="s">
        <v>893</v>
      </c>
      <c r="F100" s="69" t="s">
        <v>1360</v>
      </c>
      <c r="G100" s="69"/>
    </row>
    <row r="101" spans="1:9" x14ac:dyDescent="0.2">
      <c r="B101" s="206">
        <v>41274</v>
      </c>
      <c r="C101" s="36">
        <v>41639</v>
      </c>
      <c r="D101" s="206">
        <v>41639</v>
      </c>
      <c r="E101" s="36">
        <v>42004</v>
      </c>
      <c r="F101" s="206">
        <v>42004</v>
      </c>
      <c r="G101" s="206">
        <v>42369</v>
      </c>
    </row>
    <row r="102" spans="1:9" x14ac:dyDescent="0.2">
      <c r="A102" s="1" t="s">
        <v>95</v>
      </c>
      <c r="B102" s="38">
        <v>100000</v>
      </c>
      <c r="C102" s="38">
        <f>B102</f>
        <v>100000</v>
      </c>
      <c r="D102" s="38">
        <f>C102</f>
        <v>100000</v>
      </c>
      <c r="E102" s="38">
        <f>D102</f>
        <v>100000</v>
      </c>
      <c r="F102" s="38">
        <f>E102</f>
        <v>100000</v>
      </c>
      <c r="G102" s="38">
        <f>F102</f>
        <v>100000</v>
      </c>
    </row>
    <row r="103" spans="1:9" x14ac:dyDescent="0.2">
      <c r="A103" s="1" t="s">
        <v>96</v>
      </c>
      <c r="B103" s="38">
        <f>B102/10</f>
        <v>10000</v>
      </c>
      <c r="C103" s="38">
        <f>B103+C107</f>
        <v>20000</v>
      </c>
      <c r="D103" s="38">
        <f>C103</f>
        <v>20000</v>
      </c>
      <c r="E103" s="38">
        <f>D103+E107+D104/8</f>
        <v>30000</v>
      </c>
      <c r="F103" s="38">
        <f>E103</f>
        <v>30000</v>
      </c>
      <c r="G103" s="38">
        <f>F103+G107+F104/7</f>
        <v>40000</v>
      </c>
    </row>
    <row r="104" spans="1:9" x14ac:dyDescent="0.2">
      <c r="A104" s="1" t="s">
        <v>718</v>
      </c>
      <c r="B104" s="19"/>
      <c r="C104" s="19"/>
      <c r="D104" s="38">
        <f>D108</f>
        <v>8000</v>
      </c>
      <c r="E104" s="38">
        <f>D104*7/8</f>
        <v>7000</v>
      </c>
      <c r="F104" s="38">
        <f>E104+F108</f>
        <v>30000</v>
      </c>
      <c r="G104" s="38">
        <f>F104*6/7</f>
        <v>25714.285714285714</v>
      </c>
    </row>
    <row r="105" spans="1:9" x14ac:dyDescent="0.2">
      <c r="A105" s="1" t="s">
        <v>99</v>
      </c>
      <c r="B105" s="39">
        <f>B102-B103</f>
        <v>90000</v>
      </c>
      <c r="C105" s="39">
        <f>C102-C103</f>
        <v>80000</v>
      </c>
      <c r="D105" s="39">
        <f>MAX(72000,68000)</f>
        <v>72000</v>
      </c>
      <c r="E105" s="39">
        <f>E102-E103-E104</f>
        <v>63000</v>
      </c>
      <c r="F105" s="39">
        <f>MAX(40000,35000)</f>
        <v>40000</v>
      </c>
      <c r="G105" s="39">
        <f>G102-G103-G104</f>
        <v>34285.71428571429</v>
      </c>
    </row>
    <row r="106" spans="1:9" x14ac:dyDescent="0.2">
      <c r="B106" s="38"/>
      <c r="C106" s="38"/>
      <c r="D106" s="38"/>
      <c r="E106" s="38"/>
      <c r="F106" s="38"/>
      <c r="G106" s="38"/>
    </row>
    <row r="107" spans="1:9" x14ac:dyDescent="0.2">
      <c r="A107" s="1" t="s">
        <v>100</v>
      </c>
      <c r="B107" s="38">
        <f>B103</f>
        <v>10000</v>
      </c>
      <c r="C107" s="38">
        <f>B107</f>
        <v>10000</v>
      </c>
      <c r="D107" s="38">
        <f>C107</f>
        <v>10000</v>
      </c>
      <c r="E107" s="38">
        <f>D105/8</f>
        <v>9000</v>
      </c>
      <c r="F107" s="38">
        <f>E107</f>
        <v>9000</v>
      </c>
      <c r="G107" s="38">
        <f>F105/7</f>
        <v>5714.2857142857147</v>
      </c>
    </row>
    <row r="108" spans="1:9" x14ac:dyDescent="0.2">
      <c r="A108" s="1" t="s">
        <v>891</v>
      </c>
      <c r="B108" s="38"/>
      <c r="C108" s="38"/>
      <c r="D108" s="38">
        <f>C105-D105</f>
        <v>8000</v>
      </c>
      <c r="E108" s="38"/>
      <c r="F108" s="38">
        <f>E105-F105</f>
        <v>23000</v>
      </c>
      <c r="G108" s="38"/>
    </row>
    <row r="109" spans="1:9" x14ac:dyDescent="0.2">
      <c r="B109" s="38"/>
      <c r="C109" s="38"/>
      <c r="D109" s="38"/>
      <c r="E109" s="38"/>
      <c r="F109" s="38"/>
      <c r="G109" s="38"/>
      <c r="I109" s="1" t="s">
        <v>1399</v>
      </c>
    </row>
    <row r="110" spans="1:9" x14ac:dyDescent="0.2">
      <c r="A110" s="1" t="s">
        <v>1340</v>
      </c>
      <c r="B110" s="38"/>
      <c r="C110" s="100"/>
      <c r="D110" s="38">
        <f>D120</f>
        <v>2400</v>
      </c>
      <c r="E110" s="100"/>
      <c r="F110" s="38">
        <f>F120</f>
        <v>9000</v>
      </c>
      <c r="G110" s="21">
        <f>G120</f>
        <v>7714.2857142857129</v>
      </c>
      <c r="I110" s="1" t="s">
        <v>1361</v>
      </c>
    </row>
    <row r="111" spans="1:9" x14ac:dyDescent="0.2">
      <c r="A111" s="1" t="s">
        <v>1362</v>
      </c>
      <c r="B111" s="38"/>
      <c r="C111" s="100"/>
      <c r="D111" s="38">
        <f>D110</f>
        <v>2400</v>
      </c>
      <c r="E111" s="100"/>
      <c r="F111" s="38">
        <f>F110-D110</f>
        <v>6600</v>
      </c>
      <c r="I111" s="1" t="s">
        <v>1363</v>
      </c>
    </row>
    <row r="112" spans="1:9" x14ac:dyDescent="0.2">
      <c r="A112" s="1" t="s">
        <v>1364</v>
      </c>
      <c r="B112" s="38"/>
      <c r="C112" s="100"/>
      <c r="D112" s="38"/>
      <c r="E112" s="100"/>
      <c r="F112" s="38"/>
      <c r="G112" s="38">
        <f>F110-G110</f>
        <v>1285.7142857142871</v>
      </c>
      <c r="I112" s="1" t="s">
        <v>1365</v>
      </c>
    </row>
    <row r="114" spans="1:9" x14ac:dyDescent="0.2">
      <c r="A114" s="1" t="s">
        <v>1366</v>
      </c>
      <c r="D114" s="1" t="s">
        <v>1360</v>
      </c>
      <c r="F114" s="1" t="s">
        <v>1360</v>
      </c>
      <c r="I114" s="1" t="s">
        <v>1367</v>
      </c>
    </row>
    <row r="115" spans="1:9" x14ac:dyDescent="0.2">
      <c r="B115" s="36">
        <v>41274</v>
      </c>
      <c r="D115" s="36">
        <v>41639</v>
      </c>
      <c r="F115" s="36">
        <v>42004</v>
      </c>
      <c r="G115" s="36">
        <v>42369</v>
      </c>
      <c r="I115" s="1" t="s">
        <v>1368</v>
      </c>
    </row>
    <row r="116" spans="1:9" x14ac:dyDescent="0.2">
      <c r="A116" s="1" t="s">
        <v>1369</v>
      </c>
      <c r="B116" s="38">
        <v>90000</v>
      </c>
      <c r="D116" s="38">
        <f>D105</f>
        <v>72000</v>
      </c>
      <c r="F116" s="38">
        <f>F105</f>
        <v>40000</v>
      </c>
      <c r="G116" s="38">
        <f>G105</f>
        <v>34285.71428571429</v>
      </c>
      <c r="I116" s="1" t="s">
        <v>1370</v>
      </c>
    </row>
    <row r="117" spans="1:9" x14ac:dyDescent="0.2">
      <c r="A117" s="1" t="s">
        <v>1371</v>
      </c>
      <c r="B117" s="38">
        <f>B116</f>
        <v>90000</v>
      </c>
      <c r="D117" s="38">
        <f>C105</f>
        <v>80000</v>
      </c>
      <c r="F117" s="38">
        <f>100000*7/10</f>
        <v>70000</v>
      </c>
      <c r="G117" s="38">
        <f>100000*6/10</f>
        <v>60000</v>
      </c>
    </row>
    <row r="118" spans="1:9" x14ac:dyDescent="0.2">
      <c r="A118" s="1" t="s">
        <v>1339</v>
      </c>
      <c r="B118" s="22">
        <f>B116-B117</f>
        <v>0</v>
      </c>
      <c r="D118" s="22">
        <f>D116-D117</f>
        <v>-8000</v>
      </c>
      <c r="F118" s="22">
        <f>F116-F117</f>
        <v>-30000</v>
      </c>
      <c r="G118" s="22">
        <f>G116-G117</f>
        <v>-25714.28571428571</v>
      </c>
    </row>
    <row r="119" spans="1:9" x14ac:dyDescent="0.2">
      <c r="A119" s="1" t="s">
        <v>1056</v>
      </c>
      <c r="B119" s="183">
        <v>0.3</v>
      </c>
      <c r="D119" s="183">
        <v>0.3</v>
      </c>
      <c r="F119" s="183">
        <v>0.3</v>
      </c>
      <c r="G119" s="183">
        <v>0.3</v>
      </c>
    </row>
    <row r="120" spans="1:9" x14ac:dyDescent="0.2">
      <c r="A120" s="1" t="s">
        <v>1340</v>
      </c>
      <c r="B120" s="22">
        <f>-B118*B119</f>
        <v>0</v>
      </c>
      <c r="D120" s="22">
        <f>-D119*D118</f>
        <v>2400</v>
      </c>
      <c r="F120" s="22">
        <f>-F119*F118</f>
        <v>9000</v>
      </c>
      <c r="G120" s="22">
        <f>-G119*G118</f>
        <v>7714.2857142857129</v>
      </c>
    </row>
    <row r="125" spans="1:9" x14ac:dyDescent="0.2">
      <c r="A125" s="1" t="s">
        <v>1371</v>
      </c>
      <c r="B125" s="1" t="s">
        <v>1372</v>
      </c>
    </row>
    <row r="126" spans="1:9" x14ac:dyDescent="0.2">
      <c r="B126" s="1" t="s">
        <v>1373</v>
      </c>
    </row>
    <row r="127" spans="1:9" x14ac:dyDescent="0.2">
      <c r="B127" s="1" t="s">
        <v>1374</v>
      </c>
    </row>
    <row r="129" spans="1:8" x14ac:dyDescent="0.2">
      <c r="A129" s="1" t="s">
        <v>1339</v>
      </c>
      <c r="B129" s="1" t="s">
        <v>1375</v>
      </c>
    </row>
    <row r="130" spans="1:8" x14ac:dyDescent="0.2">
      <c r="B130" s="1" t="s">
        <v>1376</v>
      </c>
    </row>
    <row r="131" spans="1:8" x14ac:dyDescent="0.2">
      <c r="B131" s="1" t="s">
        <v>1377</v>
      </c>
    </row>
    <row r="132" spans="1:8" x14ac:dyDescent="0.2">
      <c r="B132" s="1" t="s">
        <v>1378</v>
      </c>
    </row>
    <row r="133" spans="1:8" x14ac:dyDescent="0.2">
      <c r="B133" s="1" t="s">
        <v>1379</v>
      </c>
    </row>
    <row r="134" spans="1:8" ht="17" thickBot="1" x14ac:dyDescent="0.25"/>
    <row r="135" spans="1:8" ht="17" thickBot="1" x14ac:dyDescent="0.25">
      <c r="A135" s="16" t="s">
        <v>1380</v>
      </c>
      <c r="B135" s="17"/>
      <c r="C135" s="17"/>
      <c r="D135" s="17"/>
      <c r="E135" s="17"/>
      <c r="F135" s="17"/>
      <c r="G135" s="17"/>
      <c r="H135" s="18"/>
    </row>
    <row r="137" spans="1:8" x14ac:dyDescent="0.2">
      <c r="A137" s="1" t="s">
        <v>1381</v>
      </c>
    </row>
    <row r="138" spans="1:8" x14ac:dyDescent="0.2">
      <c r="A138" s="1" t="s">
        <v>1382</v>
      </c>
    </row>
    <row r="140" spans="1:8" x14ac:dyDescent="0.2">
      <c r="A140" s="1" t="s">
        <v>1383</v>
      </c>
    </row>
    <row r="141" spans="1:8" x14ac:dyDescent="0.2">
      <c r="A141" s="1" t="s">
        <v>1384</v>
      </c>
    </row>
    <row r="142" spans="1:8" x14ac:dyDescent="0.2">
      <c r="A142" s="1" t="s">
        <v>1385</v>
      </c>
    </row>
    <row r="143" spans="1:8" x14ac:dyDescent="0.2">
      <c r="A143" s="1" t="s">
        <v>1386</v>
      </c>
    </row>
    <row r="144" spans="1:8" x14ac:dyDescent="0.2">
      <c r="A144" s="1" t="s">
        <v>1387</v>
      </c>
    </row>
    <row r="145" spans="1:11" x14ac:dyDescent="0.2">
      <c r="A145" s="1" t="s">
        <v>1388</v>
      </c>
    </row>
    <row r="146" spans="1:11" x14ac:dyDescent="0.2">
      <c r="A146" s="1" t="s">
        <v>1389</v>
      </c>
      <c r="G146" s="1" t="s">
        <v>1400</v>
      </c>
    </row>
    <row r="148" spans="1:11" x14ac:dyDescent="0.2">
      <c r="B148" s="205" t="s">
        <v>922</v>
      </c>
      <c r="C148" s="205" t="s">
        <v>1390</v>
      </c>
      <c r="D148" s="94"/>
    </row>
    <row r="149" spans="1:11" x14ac:dyDescent="0.2">
      <c r="A149" s="35">
        <v>40543</v>
      </c>
      <c r="B149" s="73">
        <v>65000</v>
      </c>
      <c r="C149" s="73">
        <v>30000</v>
      </c>
    </row>
    <row r="150" spans="1:11" x14ac:dyDescent="0.2">
      <c r="A150" s="35">
        <v>40908</v>
      </c>
      <c r="B150" s="73">
        <v>90000</v>
      </c>
      <c r="C150" s="73">
        <v>88000</v>
      </c>
    </row>
    <row r="151" spans="1:11" x14ac:dyDescent="0.2">
      <c r="A151" s="35">
        <v>41274</v>
      </c>
      <c r="B151" s="73">
        <v>44000</v>
      </c>
      <c r="C151" s="73">
        <v>32000</v>
      </c>
    </row>
    <row r="152" spans="1:11" x14ac:dyDescent="0.2">
      <c r="A152" s="35">
        <v>41639</v>
      </c>
      <c r="B152" s="73">
        <v>25000</v>
      </c>
      <c r="C152" s="73">
        <v>23000</v>
      </c>
    </row>
    <row r="153" spans="1:11" x14ac:dyDescent="0.2">
      <c r="A153" s="35">
        <v>42004</v>
      </c>
      <c r="B153" s="73">
        <v>62000</v>
      </c>
      <c r="C153" s="73">
        <v>43000</v>
      </c>
    </row>
    <row r="155" spans="1:11" x14ac:dyDescent="0.2">
      <c r="A155" s="1" t="s">
        <v>1391</v>
      </c>
    </row>
    <row r="157" spans="1:11" x14ac:dyDescent="0.2">
      <c r="A157" s="1" t="s">
        <v>1392</v>
      </c>
    </row>
    <row r="158" spans="1:11" x14ac:dyDescent="0.2">
      <c r="B158" s="19" t="s">
        <v>927</v>
      </c>
      <c r="C158" s="19" t="s">
        <v>928</v>
      </c>
      <c r="D158" s="19" t="s">
        <v>927</v>
      </c>
      <c r="E158" s="19" t="s">
        <v>928</v>
      </c>
      <c r="F158" s="19" t="s">
        <v>927</v>
      </c>
      <c r="G158" s="19" t="s">
        <v>928</v>
      </c>
      <c r="H158" s="19" t="s">
        <v>927</v>
      </c>
      <c r="I158" s="19" t="s">
        <v>928</v>
      </c>
      <c r="J158" s="19" t="s">
        <v>927</v>
      </c>
      <c r="K158" s="19" t="s">
        <v>928</v>
      </c>
    </row>
    <row r="159" spans="1:11" x14ac:dyDescent="0.2">
      <c r="B159" s="36">
        <v>40543</v>
      </c>
      <c r="C159" s="36">
        <v>40543</v>
      </c>
      <c r="D159" s="36">
        <v>40908</v>
      </c>
      <c r="E159" s="36">
        <v>40908</v>
      </c>
      <c r="F159" s="36">
        <v>41274</v>
      </c>
      <c r="G159" s="36">
        <v>41274</v>
      </c>
      <c r="H159" s="36">
        <v>41639</v>
      </c>
      <c r="I159" s="36">
        <v>41639</v>
      </c>
      <c r="J159" s="36">
        <v>42004</v>
      </c>
      <c r="K159" s="36">
        <v>42004</v>
      </c>
    </row>
    <row r="160" spans="1:11" x14ac:dyDescent="0.2">
      <c r="A160" s="1" t="s">
        <v>95</v>
      </c>
      <c r="B160" s="21">
        <v>80000</v>
      </c>
      <c r="C160" s="21">
        <f>B160</f>
        <v>80000</v>
      </c>
      <c r="D160" s="21">
        <f t="shared" ref="D160:G160" si="16">C160</f>
        <v>80000</v>
      </c>
      <c r="E160" s="21">
        <f t="shared" si="16"/>
        <v>80000</v>
      </c>
      <c r="F160" s="21">
        <f t="shared" si="16"/>
        <v>80000</v>
      </c>
      <c r="G160" s="21">
        <f t="shared" si="16"/>
        <v>80000</v>
      </c>
      <c r="H160" s="21">
        <f>G160</f>
        <v>80000</v>
      </c>
      <c r="I160" s="21">
        <f>G160</f>
        <v>80000</v>
      </c>
      <c r="J160" s="21">
        <f>I160</f>
        <v>80000</v>
      </c>
      <c r="K160" s="21">
        <f>J160</f>
        <v>80000</v>
      </c>
    </row>
    <row r="161" spans="1:11" x14ac:dyDescent="0.2">
      <c r="A161" s="1" t="s">
        <v>96</v>
      </c>
      <c r="B161" s="21">
        <f>B165</f>
        <v>8000</v>
      </c>
      <c r="C161" s="21">
        <f>B161</f>
        <v>8000</v>
      </c>
      <c r="D161" s="21">
        <f>C161+D165+C162/9</f>
        <v>16000</v>
      </c>
      <c r="E161" s="21">
        <f>D161</f>
        <v>16000</v>
      </c>
      <c r="F161" s="21">
        <f>E161+F165</f>
        <v>24000</v>
      </c>
      <c r="G161" s="21">
        <f>F161</f>
        <v>24000</v>
      </c>
      <c r="H161" s="21">
        <f>G161+H165+G162/7</f>
        <v>32000</v>
      </c>
      <c r="I161" s="21">
        <f>H161</f>
        <v>32000</v>
      </c>
      <c r="J161" s="21">
        <f>I161+J165+I162/6</f>
        <v>40000</v>
      </c>
      <c r="K161" s="21">
        <f>J161</f>
        <v>40000</v>
      </c>
    </row>
    <row r="162" spans="1:11" x14ac:dyDescent="0.2">
      <c r="A162" s="1" t="s">
        <v>718</v>
      </c>
      <c r="B162" s="21">
        <v>0</v>
      </c>
      <c r="C162" s="21">
        <f>C166</f>
        <v>7000</v>
      </c>
      <c r="D162" s="21">
        <f>C162-C162/9</f>
        <v>6222.2222222222226</v>
      </c>
      <c r="E162" s="21">
        <v>0</v>
      </c>
      <c r="F162" s="21">
        <v>0</v>
      </c>
      <c r="G162" s="21">
        <f>G166</f>
        <v>12000</v>
      </c>
      <c r="H162" s="21">
        <f>G162-G162/7</f>
        <v>10285.714285714286</v>
      </c>
      <c r="I162" s="21">
        <f>H162+I166</f>
        <v>22999.999999999996</v>
      </c>
      <c r="J162" s="21">
        <f>I162-I162/6</f>
        <v>19166.666666666664</v>
      </c>
      <c r="K162" s="21">
        <v>0</v>
      </c>
    </row>
    <row r="163" spans="1:11" x14ac:dyDescent="0.2">
      <c r="A163" s="1" t="s">
        <v>99</v>
      </c>
      <c r="B163" s="21">
        <f>B160-B161-B162</f>
        <v>72000</v>
      </c>
      <c r="C163" s="21">
        <f>MAX(B149:C149)</f>
        <v>65000</v>
      </c>
      <c r="D163" s="21">
        <f>D160-D161-D162</f>
        <v>57777.777777777781</v>
      </c>
      <c r="E163" s="21">
        <f>E160-E161-E162</f>
        <v>64000</v>
      </c>
      <c r="F163" s="21">
        <f>F160-F161-F162</f>
        <v>56000</v>
      </c>
      <c r="G163" s="21">
        <f>MAX(B151:C151)</f>
        <v>44000</v>
      </c>
      <c r="H163" s="21">
        <f>H160-H161-H162</f>
        <v>37714.28571428571</v>
      </c>
      <c r="I163" s="21">
        <f>MAX(B152:C152)</f>
        <v>25000</v>
      </c>
      <c r="J163" s="21">
        <f>J160-J161-J162</f>
        <v>20833.333333333336</v>
      </c>
      <c r="K163" s="21">
        <f>K160-K161-K162</f>
        <v>40000</v>
      </c>
    </row>
    <row r="164" spans="1:11" x14ac:dyDescent="0.2">
      <c r="B164" s="21"/>
      <c r="C164" s="21"/>
      <c r="D164" s="21"/>
      <c r="E164" s="21"/>
      <c r="F164" s="21"/>
      <c r="G164" s="21"/>
      <c r="H164" s="21"/>
      <c r="I164" s="21"/>
      <c r="J164" s="21"/>
      <c r="K164" s="21"/>
    </row>
    <row r="165" spans="1:11" x14ac:dyDescent="0.2">
      <c r="A165" s="1" t="s">
        <v>100</v>
      </c>
      <c r="B165" s="21">
        <f>80000/10</f>
        <v>8000</v>
      </c>
      <c r="C165" s="21">
        <f>B165</f>
        <v>8000</v>
      </c>
      <c r="D165" s="21">
        <f>C163/9</f>
        <v>7222.2222222222226</v>
      </c>
      <c r="E165" s="21">
        <f>D165</f>
        <v>7222.2222222222226</v>
      </c>
      <c r="F165" s="21">
        <f>E163/8</f>
        <v>8000</v>
      </c>
      <c r="G165" s="21">
        <f>F165</f>
        <v>8000</v>
      </c>
      <c r="H165" s="21">
        <f>G163/7</f>
        <v>6285.7142857142853</v>
      </c>
      <c r="I165" s="21">
        <f>H165</f>
        <v>6285.7142857142853</v>
      </c>
      <c r="J165" s="21">
        <f>I163/6</f>
        <v>4166.666666666667</v>
      </c>
      <c r="K165" s="21">
        <f>J165</f>
        <v>4166.666666666667</v>
      </c>
    </row>
    <row r="166" spans="1:11" x14ac:dyDescent="0.2">
      <c r="A166" s="1" t="s">
        <v>891</v>
      </c>
      <c r="B166" s="21"/>
      <c r="C166" s="21">
        <f>B163-C163</f>
        <v>7000</v>
      </c>
      <c r="D166" s="21"/>
      <c r="E166" s="21"/>
      <c r="F166" s="21"/>
      <c r="G166" s="21">
        <f>F163-G163</f>
        <v>12000</v>
      </c>
      <c r="H166" s="21"/>
      <c r="I166" s="21">
        <f>H163-I163</f>
        <v>12714.28571428571</v>
      </c>
      <c r="J166" s="21"/>
      <c r="K166" s="21"/>
    </row>
    <row r="167" spans="1:11" x14ac:dyDescent="0.2">
      <c r="A167" s="1" t="s">
        <v>892</v>
      </c>
      <c r="B167" s="21"/>
      <c r="C167" s="21"/>
      <c r="D167" s="21"/>
      <c r="E167" s="21">
        <f>D162</f>
        <v>6222.2222222222226</v>
      </c>
      <c r="F167" s="21"/>
      <c r="G167" s="21"/>
      <c r="H167" s="21"/>
      <c r="I167" s="21"/>
      <c r="J167" s="19"/>
      <c r="K167" s="21">
        <f>J162</f>
        <v>19166.666666666664</v>
      </c>
    </row>
    <row r="168" spans="1:11" x14ac:dyDescent="0.2">
      <c r="B168" s="19"/>
      <c r="C168" s="19"/>
      <c r="D168" s="19"/>
      <c r="E168" s="19"/>
      <c r="F168" s="19"/>
      <c r="G168" s="19"/>
      <c r="H168" s="19"/>
      <c r="I168" s="19"/>
      <c r="J168" s="19"/>
      <c r="K168" s="19"/>
    </row>
    <row r="169" spans="1:11" x14ac:dyDescent="0.2">
      <c r="A169" s="1" t="s">
        <v>1340</v>
      </c>
      <c r="B169" s="207"/>
      <c r="C169" s="21">
        <f>B181</f>
        <v>1750</v>
      </c>
      <c r="D169" s="207"/>
      <c r="E169" s="21">
        <f>C181</f>
        <v>0</v>
      </c>
      <c r="F169" s="207"/>
      <c r="G169" s="21">
        <f>D181</f>
        <v>3000</v>
      </c>
      <c r="H169" s="207"/>
      <c r="I169" s="21">
        <f>E181</f>
        <v>5750</v>
      </c>
      <c r="J169" s="207"/>
      <c r="K169" s="19">
        <v>0</v>
      </c>
    </row>
    <row r="170" spans="1:11" x14ac:dyDescent="0.2">
      <c r="A170" s="1" t="s">
        <v>1364</v>
      </c>
      <c r="B170" s="19"/>
      <c r="C170" s="19"/>
      <c r="D170" s="19"/>
      <c r="E170" s="21">
        <f>C169-E169</f>
        <v>1750</v>
      </c>
      <c r="F170" s="19"/>
      <c r="G170" s="19"/>
      <c r="H170" s="19"/>
      <c r="I170" s="19"/>
      <c r="J170" s="19"/>
      <c r="K170" s="21">
        <f>I169-K169</f>
        <v>5750</v>
      </c>
    </row>
    <row r="171" spans="1:11" x14ac:dyDescent="0.2">
      <c r="A171" s="1" t="s">
        <v>1362</v>
      </c>
      <c r="B171" s="19"/>
      <c r="C171" s="21">
        <f>B181</f>
        <v>1750</v>
      </c>
      <c r="D171" s="19"/>
      <c r="E171" s="19"/>
      <c r="F171" s="19"/>
      <c r="G171" s="21">
        <f>G169-E169</f>
        <v>3000</v>
      </c>
      <c r="H171" s="19"/>
      <c r="I171" s="21">
        <f>I169-G169</f>
        <v>2750</v>
      </c>
      <c r="J171" s="19"/>
      <c r="K171" s="19"/>
    </row>
    <row r="175" spans="1:11" x14ac:dyDescent="0.2">
      <c r="A175" s="1" t="s">
        <v>1393</v>
      </c>
      <c r="B175" s="19" t="s">
        <v>998</v>
      </c>
      <c r="C175" s="19" t="s">
        <v>998</v>
      </c>
      <c r="D175" s="19" t="s">
        <v>998</v>
      </c>
      <c r="E175" s="19" t="s">
        <v>998</v>
      </c>
      <c r="F175" s="19" t="s">
        <v>998</v>
      </c>
    </row>
    <row r="176" spans="1:11" x14ac:dyDescent="0.2">
      <c r="B176" s="36">
        <v>40543</v>
      </c>
      <c r="C176" s="36">
        <v>40908</v>
      </c>
      <c r="D176" s="36">
        <v>41274</v>
      </c>
      <c r="E176" s="36">
        <v>41639</v>
      </c>
      <c r="F176" s="36">
        <v>42004</v>
      </c>
    </row>
    <row r="177" spans="1:6" x14ac:dyDescent="0.2">
      <c r="A177" s="1" t="s">
        <v>1369</v>
      </c>
      <c r="B177" s="21">
        <f>C163</f>
        <v>65000</v>
      </c>
      <c r="C177" s="21">
        <f>E163</f>
        <v>64000</v>
      </c>
      <c r="D177" s="21">
        <f>G163</f>
        <v>44000</v>
      </c>
      <c r="E177" s="21">
        <f>I163</f>
        <v>25000</v>
      </c>
      <c r="F177" s="21">
        <f>K163</f>
        <v>40000</v>
      </c>
    </row>
    <row r="178" spans="1:6" x14ac:dyDescent="0.2">
      <c r="A178" s="1" t="s">
        <v>1054</v>
      </c>
      <c r="B178" s="21">
        <f>80000-80000/10</f>
        <v>72000</v>
      </c>
      <c r="C178" s="21">
        <f>80000-80000/10*2</f>
        <v>64000</v>
      </c>
      <c r="D178" s="21">
        <f>C178-8000</f>
        <v>56000</v>
      </c>
      <c r="E178" s="21">
        <f>D178-8000</f>
        <v>48000</v>
      </c>
      <c r="F178" s="21">
        <f>E178-8000</f>
        <v>40000</v>
      </c>
    </row>
    <row r="179" spans="1:6" x14ac:dyDescent="0.2">
      <c r="A179" s="1" t="s">
        <v>1339</v>
      </c>
      <c r="B179" s="22">
        <f>B177-B178</f>
        <v>-7000</v>
      </c>
      <c r="C179" s="22">
        <f>C177-C178</f>
        <v>0</v>
      </c>
      <c r="D179" s="22">
        <f>D177-D178</f>
        <v>-12000</v>
      </c>
      <c r="E179" s="22">
        <f>E177-E178</f>
        <v>-23000</v>
      </c>
      <c r="F179" s="22">
        <f>F177-F178</f>
        <v>0</v>
      </c>
    </row>
    <row r="180" spans="1:6" x14ac:dyDescent="0.2">
      <c r="A180" s="1" t="s">
        <v>1056</v>
      </c>
      <c r="B180" s="183">
        <v>0.25</v>
      </c>
      <c r="C180" s="183">
        <v>0.25</v>
      </c>
      <c r="D180" s="183">
        <v>0.25</v>
      </c>
      <c r="E180" s="183">
        <v>0.25</v>
      </c>
      <c r="F180" s="183">
        <v>0.25</v>
      </c>
    </row>
    <row r="181" spans="1:6" x14ac:dyDescent="0.2">
      <c r="A181" s="1" t="s">
        <v>1340</v>
      </c>
      <c r="B181" s="22">
        <f>-B179*B180</f>
        <v>1750</v>
      </c>
      <c r="C181" s="22">
        <f t="shared" ref="C181:F181" si="17">-C179*C180</f>
        <v>0</v>
      </c>
      <c r="D181" s="22">
        <f t="shared" si="17"/>
        <v>3000</v>
      </c>
      <c r="E181" s="22">
        <f t="shared" si="17"/>
        <v>5750</v>
      </c>
      <c r="F181" s="22">
        <f t="shared" si="17"/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Sheet1</vt:lpstr>
      <vt:lpstr>Sheet2</vt:lpstr>
      <vt:lpstr>Sheet3</vt:lpstr>
      <vt:lpstr>Sheet4</vt:lpstr>
      <vt:lpstr>Sheet5</vt:lpstr>
      <vt:lpstr>Sheet6</vt:lpstr>
      <vt:lpstr>Sheet7</vt:lpstr>
      <vt:lpstr>Lecture 8</vt:lpstr>
      <vt:lpstr>Lecture 8נ</vt:lpstr>
      <vt:lpstr>Lecture 9b</vt:lpstr>
      <vt:lpstr>Lecture9bExercise</vt:lpstr>
      <vt:lpstr>Lecture 9 part 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2025-03-13T11:07:02Z</dcterms:created>
  <dcterms:modified xsi:type="dcterms:W3CDTF">2025-05-29T11:36:47Z</dcterms:modified>
</cp:coreProperties>
</file>